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0490" windowHeight="8820" tabRatio="918" firstSheet="2" activeTab="2"/>
  </bookViews>
  <sheets>
    <sheet name="ORÇAMENTO SINTETICO" sheetId="9" r:id="rId1"/>
    <sheet name="ORÇAMENTO GERAL" sheetId="1" r:id="rId2"/>
    <sheet name="CPMPOSIÇÃO DE PREÇOS UNITÁRIOS " sheetId="3" r:id="rId3"/>
    <sheet name="CRONOGRAMA FF" sheetId="11" r:id="rId4"/>
    <sheet name="MEMÓRIA DE CÁLCULO" sheetId="4" r:id="rId5"/>
    <sheet name="COMPOSIÇÃO PROJETO EXECUTIVO" sheetId="2" r:id="rId6"/>
    <sheet name="DMT - Trecho 01 e Trecho 02" sheetId="6" r:id="rId7"/>
    <sheet name="BDI" sheetId="7" r:id="rId8"/>
    <sheet name="ENCARGOS SOCIAIS" sheetId="8" r:id="rId9"/>
  </sheets>
  <externalReferences>
    <externalReference r:id="rId10"/>
    <externalReference r:id="rId11"/>
    <externalReference r:id="rId12"/>
  </externalReferences>
  <definedNames>
    <definedName name="__aga14">#REF!</definedName>
    <definedName name="__bur3220">#REF!</definedName>
    <definedName name="__cap20">#REF!</definedName>
    <definedName name="__cva50">#REF!</definedName>
    <definedName name="__cva60">#REF!</definedName>
    <definedName name="__cve45100">#REF!</definedName>
    <definedName name="__cve90100">#REF!</definedName>
    <definedName name="__cve9040">#REF!</definedName>
    <definedName name="__djm10">#REF!</definedName>
    <definedName name="__djm15">#REF!</definedName>
    <definedName name="__epl2">#REF!</definedName>
    <definedName name="__epl5">#REF!</definedName>
    <definedName name="__fil1">#REF!</definedName>
    <definedName name="__fil2">#REF!</definedName>
    <definedName name="__fio12">#REF!</definedName>
    <definedName name="__fis5">#REF!</definedName>
    <definedName name="__flf50">#REF!</definedName>
    <definedName name="__flf60">#REF!</definedName>
    <definedName name="__fpd12">#REF!</definedName>
    <definedName name="__fvr10">#REF!</definedName>
    <definedName name="__itu1">#REF!</definedName>
    <definedName name="__jla20">#REF!</definedName>
    <definedName name="__jla32">#REF!</definedName>
    <definedName name="__lpi100">#REF!</definedName>
    <definedName name="__lvg10060">#REF!</definedName>
    <definedName name="__lvp32">#REF!</definedName>
    <definedName name="__man50">#REF!</definedName>
    <definedName name="__ope1">#REF!</definedName>
    <definedName name="__ope2">#REF!</definedName>
    <definedName name="__ope3">#REF!</definedName>
    <definedName name="__pne1">#REF!</definedName>
    <definedName name="__pne2">#REF!</definedName>
    <definedName name="__ptm6">#REF!</definedName>
    <definedName name="__qdm3">#REF!</definedName>
    <definedName name="__rcm10">#REF!</definedName>
    <definedName name="__rcm15">#REF!</definedName>
    <definedName name="__rcm20">#REF!</definedName>
    <definedName name="__rcm5">#REF!</definedName>
    <definedName name="__res10">#REF!</definedName>
    <definedName name="__res15">#REF!</definedName>
    <definedName name="__res5">#REF!</definedName>
    <definedName name="__rgf60">#REF!</definedName>
    <definedName name="__rgp1">#REF!</definedName>
    <definedName name="__tap100">#REF!</definedName>
    <definedName name="__tba20">#REF!</definedName>
    <definedName name="__tba32">#REF!</definedName>
    <definedName name="__tba50">#REF!</definedName>
    <definedName name="__tba60">#REF!</definedName>
    <definedName name="__tbe100">#REF!</definedName>
    <definedName name="__tbe40">#REF!</definedName>
    <definedName name="__tbe50">#REF!</definedName>
    <definedName name="__tea32">#REF!</definedName>
    <definedName name="__tea4560">#REF!</definedName>
    <definedName name="__tee100">#REF!</definedName>
    <definedName name="__ter10050">#REF!</definedName>
    <definedName name="__tlf6">#REF!</definedName>
    <definedName name="__tub10012">#REF!</definedName>
    <definedName name="__tub10015">#REF!</definedName>
    <definedName name="__tub10020">#REF!</definedName>
    <definedName name="__tub4012">#REF!</definedName>
    <definedName name="__tub4015">#REF!</definedName>
    <definedName name="__tub4020">#REF!</definedName>
    <definedName name="__tub5012">#REF!</definedName>
    <definedName name="__tub5015">#REF!</definedName>
    <definedName name="__tub5020">#REF!</definedName>
    <definedName name="__tub7512">#REF!</definedName>
    <definedName name="__tub7515">#REF!</definedName>
    <definedName name="__tub7520">#REF!</definedName>
    <definedName name="__xlnm.Print_Area_3">#REF!</definedName>
    <definedName name="__xlnm.Print_Area_4">#REF!</definedName>
    <definedName name="_aga14">#REF!</definedName>
    <definedName name="_bur3220">#REF!</definedName>
    <definedName name="_C930I">#REF!</definedName>
    <definedName name="_C930P">#REF!</definedName>
    <definedName name="_C966I">#REF!</definedName>
    <definedName name="_C966P">#REF!</definedName>
    <definedName name="_C996P">#REF!</definedName>
    <definedName name="_cap20">#REF!</definedName>
    <definedName name="_cva50">#REF!</definedName>
    <definedName name="_cva60">#REF!</definedName>
    <definedName name="_cve45100">#REF!</definedName>
    <definedName name="_cve90100">#REF!</definedName>
    <definedName name="_cve9040">#REF!</definedName>
    <definedName name="_djm10">#REF!</definedName>
    <definedName name="_djm15">#REF!</definedName>
    <definedName name="_epl2">#REF!</definedName>
    <definedName name="_epl5">#REF!</definedName>
    <definedName name="_fil1">#REF!</definedName>
    <definedName name="_fil2">#REF!</definedName>
    <definedName name="_fio12">#REF!</definedName>
    <definedName name="_fis5">#REF!</definedName>
    <definedName name="_flf50">#REF!</definedName>
    <definedName name="_flf60">#REF!</definedName>
    <definedName name="_fpd12">#REF!</definedName>
    <definedName name="_fvr10">#REF!</definedName>
    <definedName name="_itu1">#REF!</definedName>
    <definedName name="_jla20">#REF!</definedName>
    <definedName name="_jla32">#REF!</definedName>
    <definedName name="_lpi100">#REF!</definedName>
    <definedName name="_lvg10060">#REF!</definedName>
    <definedName name="_lvp32">#REF!</definedName>
    <definedName name="_man50">#REF!</definedName>
    <definedName name="_ope1">#REF!</definedName>
    <definedName name="_ope2">#REF!</definedName>
    <definedName name="_ope3">#REF!</definedName>
    <definedName name="_pne1">#REF!</definedName>
    <definedName name="_pne2">#REF!</definedName>
    <definedName name="_ptm6">#REF!</definedName>
    <definedName name="_qdm3">#REF!</definedName>
    <definedName name="_rcm10">#REF!</definedName>
    <definedName name="_rcm15">#REF!</definedName>
    <definedName name="_rcm20">#REF!</definedName>
    <definedName name="_rcm5">#REF!</definedName>
    <definedName name="_res10">#REF!</definedName>
    <definedName name="_res15">#REF!</definedName>
    <definedName name="_res5">#REF!</definedName>
    <definedName name="_rgf60">#REF!</definedName>
    <definedName name="_rgp1">#REF!</definedName>
    <definedName name="_tap100">#REF!</definedName>
    <definedName name="_tba20">#REF!</definedName>
    <definedName name="_tba32">#REF!</definedName>
    <definedName name="_tba50">#REF!</definedName>
    <definedName name="_tba60">#REF!</definedName>
    <definedName name="_tbe100">#REF!</definedName>
    <definedName name="_tbe40">#REF!</definedName>
    <definedName name="_tbe50">#REF!</definedName>
    <definedName name="_tea32">#REF!</definedName>
    <definedName name="_tea4560">#REF!</definedName>
    <definedName name="_tee100">#REF!</definedName>
    <definedName name="_ter10050">#REF!</definedName>
    <definedName name="_tlf6">#REF!</definedName>
    <definedName name="_tub10012">#REF!</definedName>
    <definedName name="_tub10015">#REF!</definedName>
    <definedName name="_tub10020">#REF!</definedName>
    <definedName name="_tub4012">#REF!</definedName>
    <definedName name="_tub4015">#REF!</definedName>
    <definedName name="_tub4020">#REF!</definedName>
    <definedName name="_tub5012">#REF!</definedName>
    <definedName name="_tub5015">#REF!</definedName>
    <definedName name="_tub5020">#REF!</definedName>
    <definedName name="_tub7512">#REF!</definedName>
    <definedName name="_tub7515">#REF!</definedName>
    <definedName name="_tub7520">#REF!</definedName>
    <definedName name="A">#REF!</definedName>
    <definedName name="acl">#REF!</definedName>
    <definedName name="aço">#REF!</definedName>
    <definedName name="AD">#REF!</definedName>
    <definedName name="adtimp">#REF!</definedName>
    <definedName name="af">#REF!</definedName>
    <definedName name="afi">#REF!</definedName>
    <definedName name="afp">#REF!</definedName>
    <definedName name="ag">#REF!</definedName>
    <definedName name="agr">#REF!</definedName>
    <definedName name="amc">#REF!</definedName>
    <definedName name="amd">#REF!</definedName>
    <definedName name="amm">#REF!</definedName>
    <definedName name="anb">#REF!</definedName>
    <definedName name="apmfs">#REF!</definedName>
    <definedName name="are">#REF!</definedName>
    <definedName name="AREA">#REF!</definedName>
    <definedName name="ÁREA">#REF!</definedName>
    <definedName name="_xlnm.Print_Area" localSheetId="7">BDI!$B$4:$D$62</definedName>
    <definedName name="_xlnm.Print_Area" localSheetId="5">'COMPOSIÇÃO PROJETO EXECUTIVO'!$B$2:$H$48</definedName>
    <definedName name="_xlnm.Print_Area" localSheetId="2">'CPMPOSIÇÃO DE PREÇOS UNITÁRIOS '!$B$2:$K$211</definedName>
    <definedName name="_xlnm.Print_Area" localSheetId="3">'CRONOGRAMA FF'!$B$3:$J$49</definedName>
    <definedName name="_xlnm.Print_Area" localSheetId="6">'DMT - Trecho 01 e Trecho 02'!$B$2:$W$35</definedName>
    <definedName name="_xlnm.Print_Area" localSheetId="8">'ENCARGOS SOCIAIS'!$B$2:$N$80</definedName>
    <definedName name="_xlnm.Print_Area" localSheetId="4">'MEMÓRIA DE CÁLCULO'!$A$4:$O$55</definedName>
    <definedName name="_xlnm.Print_Area" localSheetId="1">'ORÇAMENTO GERAL'!$B$1:$I$54</definedName>
    <definedName name="AreaTeste">#REF!</definedName>
    <definedName name="AreaTeste2">#REF!</definedName>
    <definedName name="asd">#REF!</definedName>
    <definedName name="AZ">#REF!</definedName>
    <definedName name="B">#REF!</definedName>
    <definedName name="B320I">#REF!</definedName>
    <definedName name="B320P">#REF!</definedName>
    <definedName name="B500I">#REF!</definedName>
    <definedName name="B500P">#REF!</definedName>
    <definedName name="baliz">#REF!</definedName>
    <definedName name="_xlnm.Database">[1]ORC!#REF!</definedName>
    <definedName name="BASC10I">#REF!</definedName>
    <definedName name="BASC10P">#REF!</definedName>
    <definedName name="BASC4I">#REF!</definedName>
    <definedName name="BASC4P">#REF!</definedName>
    <definedName name="BASC6I">#REF!</definedName>
    <definedName name="BASC6P">#REF!</definedName>
    <definedName name="bcc10.20">#REF!</definedName>
    <definedName name="bcc4.5">#REF!</definedName>
    <definedName name="bcc5.10">#REF!</definedName>
    <definedName name="bcc5.15">#REF!</definedName>
    <definedName name="bcc5.20">#REF!</definedName>
    <definedName name="bcc5.5">#REF!</definedName>
    <definedName name="bcc6.10">#REF!</definedName>
    <definedName name="bcc6.15">#REF!</definedName>
    <definedName name="bcc6.5">#REF!</definedName>
    <definedName name="bcc8.10">#REF!</definedName>
    <definedName name="bcc8.15">#REF!</definedName>
    <definedName name="bcc8.5">#REF!</definedName>
    <definedName name="bcp">#REF!</definedName>
    <definedName name="BDI">#REF!</definedName>
    <definedName name="BDIE">#REF!</definedName>
    <definedName name="BET5I">#REF!</definedName>
    <definedName name="BET5P">#REF!</definedName>
    <definedName name="BPF">#REF!</definedName>
    <definedName name="BVN">#REF!</definedName>
    <definedName name="CA15I">#REF!</definedName>
    <definedName name="CA15P">#REF!</definedName>
    <definedName name="CA25I">#REF!</definedName>
    <definedName name="CA25P">#REF!</definedName>
    <definedName name="cal">#REF!</definedName>
    <definedName name="CARROCI">#REF!</definedName>
    <definedName name="CARROCP">#REF!</definedName>
    <definedName name="CB10I">#REF!</definedName>
    <definedName name="CB10P">#REF!</definedName>
    <definedName name="CB4I">#REF!</definedName>
    <definedName name="CB4P">#REF!</definedName>
    <definedName name="CB6.5I">#REF!</definedName>
    <definedName name="CB6.5P">#REF!</definedName>
    <definedName name="CB6I">#REF!</definedName>
    <definedName name="CB6P">#REF!</definedName>
    <definedName name="cccc">[2]ORC!#REF!</definedName>
    <definedName name="CCM13I">#REF!</definedName>
    <definedName name="CCM13P">#REF!</definedName>
    <definedName name="CCM20I">#REF!</definedName>
    <definedName name="CCM20P">#REF!</definedName>
    <definedName name="ccp">#REF!</definedName>
    <definedName name="cds">#REF!</definedName>
    <definedName name="cec20x20">#REF!</definedName>
    <definedName name="CélulaInicioPlanilha">#REF!</definedName>
    <definedName name="CélulaResumo">#REF!</definedName>
    <definedName name="cer1\2">#REF!</definedName>
    <definedName name="cfd">#REF!</definedName>
    <definedName name="chaf">#REF!</definedName>
    <definedName name="cib">#REF!</definedName>
    <definedName name="cim">#REF!</definedName>
    <definedName name="clp">#REF!</definedName>
    <definedName name="clr1\2">#REF!</definedName>
    <definedName name="CM9I">#REF!</definedName>
    <definedName name="CM9P">#REF!</definedName>
    <definedName name="COD_ATRIUM">#REF!</definedName>
    <definedName name="COD_SINAPI">#REF!</definedName>
    <definedName name="CPA">#REF!</definedName>
    <definedName name="CPAF">#REF!</definedName>
    <definedName name="CRG930I">#REF!</definedName>
    <definedName name="CRG930P">#REF!</definedName>
    <definedName name="CRG966I">#REF!</definedName>
    <definedName name="CRG966P">#REF!</definedName>
    <definedName name="CV">#REF!</definedName>
    <definedName name="cvb">#REF!</definedName>
    <definedName name="cxcx">#REF!</definedName>
    <definedName name="cxp4x2">#REF!</definedName>
    <definedName name="cxz">#REF!</definedName>
    <definedName name="CZ">#REF!</definedName>
    <definedName name="D6I">#REF!</definedName>
    <definedName name="D6P">#REF!</definedName>
    <definedName name="D8I">#REF!</definedName>
    <definedName name="D8P">#REF!</definedName>
    <definedName name="des">#REF!</definedName>
    <definedName name="DIE">#REF!</definedName>
    <definedName name="DIF">#REF!</definedName>
    <definedName name="DKM">#REF!</definedName>
    <definedName name="dwg">#REF!</definedName>
    <definedName name="DXS">#REF!</definedName>
    <definedName name="E">#REF!</definedName>
    <definedName name="ecm">#REF!</definedName>
    <definedName name="ele">#REF!</definedName>
    <definedName name="elr1\2">#REF!</definedName>
    <definedName name="elv50x40">#REF!</definedName>
    <definedName name="enc">#REF!</definedName>
    <definedName name="ENE">#REF!</definedName>
    <definedName name="eng">#REF!</definedName>
    <definedName name="engenc">#REF!</definedName>
    <definedName name="epm2.5">#REF!</definedName>
    <definedName name="erfer">[2]ORC!#REF!</definedName>
    <definedName name="esm">#REF!</definedName>
    <definedName name="ESPRGI">#REF!</definedName>
    <definedName name="ESPRGP">#REF!</definedName>
    <definedName name="est">#REF!</definedName>
    <definedName name="Excel_BuiltIn_Print_Area_1_1">#REF!</definedName>
    <definedName name="Excel_BuiltIn_Print_Area_1_1_1">#REF!</definedName>
    <definedName name="Excel_BuiltIn_Print_Area_10">#REF!</definedName>
    <definedName name="Excel_BuiltIn_Print_Area_1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5_1">#REF!</definedName>
    <definedName name="Excel_BuiltIn_Print_Area_7_1">#REF!</definedName>
    <definedName name="Excel_BuiltIn_Print_Area_8">#REF!</definedName>
    <definedName name="Excel_BuiltIn_Print_Area_9">#REF!</definedName>
    <definedName name="Excel_BuiltIn_Print_Titles_8">#REF!</definedName>
    <definedName name="ext">#REF!</definedName>
    <definedName name="fcd">'[3]CPU ATRIUM'!$D:$D</definedName>
    <definedName name="fcm">#REF!</definedName>
    <definedName name="fds">#REF!</definedName>
    <definedName name="fdsa">#REF!</definedName>
    <definedName name="fe">#REF!</definedName>
    <definedName name="fer">#REF!</definedName>
    <definedName name="fsa">#REF!</definedName>
    <definedName name="FT">#REF!</definedName>
    <definedName name="G">#REF!</definedName>
    <definedName name="GAS">#REF!</definedName>
    <definedName name="gdc">#REF!</definedName>
    <definedName name="GFD">#REF!</definedName>
    <definedName name="gfv">#REF!</definedName>
    <definedName name="ggm">#REF!</definedName>
    <definedName name="ghb">#REF!</definedName>
    <definedName name="ghj">#REF!</definedName>
    <definedName name="GRDI">#REF!</definedName>
    <definedName name="GRDP">#REF!</definedName>
    <definedName name="GRI">#REF!</definedName>
    <definedName name="GRP">#REF!</definedName>
    <definedName name="grx">#REF!</definedName>
    <definedName name="gvc">#REF!</definedName>
    <definedName name="HJN">#REF!</definedName>
    <definedName name="ipf">#REF!</definedName>
    <definedName name="j">#REF!</definedName>
    <definedName name="JJJ">#REF!</definedName>
    <definedName name="jla1\220">#REF!</definedName>
    <definedName name="JOAO">#REF!</definedName>
    <definedName name="JRS">#REF!</definedName>
    <definedName name="KJH">#REF!</definedName>
    <definedName name="lkj">#REF!</definedName>
    <definedName name="lnm">#REF!</definedName>
    <definedName name="lpb">#REF!</definedName>
    <definedName name="LS">#REF!</definedName>
    <definedName name="LSO">#REF!</definedName>
    <definedName name="lub">#REF!</definedName>
    <definedName name="lvg12050\1">#REF!</definedName>
    <definedName name="lvp1\2">#REF!</definedName>
    <definedName name="lxa">#REF!</definedName>
    <definedName name="mad">#REF!</definedName>
    <definedName name="map">#REF!</definedName>
    <definedName name="MBBI">#REF!</definedName>
    <definedName name="MBBP">#REF!</definedName>
    <definedName name="mdn">#REF!</definedName>
    <definedName name="MNI">#REF!</definedName>
    <definedName name="MNP">#REF!</definedName>
    <definedName name="MNVI">#REF!</definedName>
    <definedName name="MNVP">#REF!</definedName>
    <definedName name="mpm2.5">#REF!</definedName>
    <definedName name="MS621I">#REF!</definedName>
    <definedName name="MS621P">#REF!</definedName>
    <definedName name="msv">#REF!</definedName>
    <definedName name="MUNCKI">#REF!</definedName>
    <definedName name="MUNCKP">#REF!</definedName>
    <definedName name="odi">#REF!</definedName>
    <definedName name="ofc">#REF!</definedName>
    <definedName name="ofi">#REF!</definedName>
    <definedName name="OGU">#REF!</definedName>
    <definedName name="OK">#REF!</definedName>
    <definedName name="OOO">#REF!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41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cf60x210">#REF!</definedName>
    <definedName name="pcf80x200">#REF!</definedName>
    <definedName name="pcf80x210">#REF!</definedName>
    <definedName name="pdm">#REF!</definedName>
    <definedName name="PII">#REF!</definedName>
    <definedName name="PIP">#REF!</definedName>
    <definedName name="PIPAI">#REF!</definedName>
    <definedName name="PIPAP">#REF!</definedName>
    <definedName name="plc">#REF!</definedName>
    <definedName name="plc2.5">#REF!</definedName>
    <definedName name="PMS">#REF!</definedName>
    <definedName name="pontal">#REF!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f">#REF!</definedName>
    <definedName name="prg">#REF!</definedName>
    <definedName name="PROJ">#REF!</definedName>
    <definedName name="ptt3x2">#REF!</definedName>
    <definedName name="qgm">#REF!</definedName>
    <definedName name="QUANT">#REF!</definedName>
    <definedName name="RCA15I">#REF!</definedName>
    <definedName name="RCA15P">#REF!</definedName>
    <definedName name="RCA25I">#REF!</definedName>
    <definedName name="RCA25P">#REF!</definedName>
    <definedName name="rec">#REF!</definedName>
    <definedName name="RES">#REF!</definedName>
    <definedName name="RETROI">#REF!</definedName>
    <definedName name="RETROP">#REF!</definedName>
    <definedName name="rgp1\2">#REF!</definedName>
    <definedName name="RLCG11I">#REF!</definedName>
    <definedName name="RLCG11P">#REF!</definedName>
    <definedName name="RLI">#REF!</definedName>
    <definedName name="RLISOI">#REF!</definedName>
    <definedName name="RLISOP">#REF!</definedName>
    <definedName name="RLP">#REF!</definedName>
    <definedName name="RPI">#REF!</definedName>
    <definedName name="RPNEUSI">#REF!</definedName>
    <definedName name="RPNEUSP">#REF!</definedName>
    <definedName name="RPP">#REF!</definedName>
    <definedName name="SAL">#REF!</definedName>
    <definedName name="sd">#REF!</definedName>
    <definedName name="sin">#REF!</definedName>
    <definedName name="SMIN">#REF!</definedName>
    <definedName name="srv">#REF!</definedName>
    <definedName name="SSS">[2]ORC!#REF!</definedName>
    <definedName name="svt">#REF!</definedName>
    <definedName name="sx">#REF!</definedName>
    <definedName name="sxo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xadeQuilometragem">#REF!</definedName>
    <definedName name="tb100cm">#REF!</definedName>
    <definedName name="tb60cm">#REF!</definedName>
    <definedName name="tb80cm">#REF!</definedName>
    <definedName name="tbv">#REF!</definedName>
    <definedName name="telha">NA()</definedName>
    <definedName name="TID">#REF!</definedName>
    <definedName name="_xlnm.Print_Titles" localSheetId="2">'CPMPOSIÇÃO DE PREÇOS UNITÁRIOS '!$2:$18</definedName>
    <definedName name="tjc">#REF!</definedName>
    <definedName name="tjf">#REF!</definedName>
    <definedName name="tlc">#REF!</definedName>
    <definedName name="tlf">#REF!</definedName>
    <definedName name="tnp1\2">#REF!</definedName>
    <definedName name="to">#REF!</definedName>
    <definedName name="top">#REF!</definedName>
    <definedName name="TOT">#REF!</definedName>
    <definedName name="TOT.P">#REF!</definedName>
    <definedName name="TOT1.P">#REF!</definedName>
    <definedName name="TOTAL">#REF!</definedName>
    <definedName name="TPI">#REF!</definedName>
    <definedName name="tpl1\2">#REF!</definedName>
    <definedName name="tpmfs">#REF!</definedName>
    <definedName name="TPP">#REF!</definedName>
    <definedName name="trb">#REF!</definedName>
    <definedName name="TRTD6I">#REF!</definedName>
    <definedName name="TRTD6P">#REF!</definedName>
    <definedName name="TRTD8I">#REF!</definedName>
    <definedName name="TRTD8P">#REF!</definedName>
    <definedName name="TRTPI">#REF!</definedName>
    <definedName name="TRTP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ttc">#REF!</definedName>
    <definedName name="tte">#REF!</definedName>
    <definedName name="Tuboscon">#REF!</definedName>
    <definedName name="tus">#REF!</definedName>
    <definedName name="USS">#REF!</definedName>
    <definedName name="V">#REF!</definedName>
    <definedName name="vbn">#REF!</definedName>
    <definedName name="vcx">#REF!</definedName>
    <definedName name="VII">#REF!</definedName>
    <definedName name="VIP">#REF!</definedName>
    <definedName name="VLR">#REF!</definedName>
    <definedName name="vsb">#REF!</definedName>
    <definedName name="vzx">#REF!</definedName>
    <definedName name="X">#REF!</definedName>
    <definedName name="XC">#REF!</definedName>
    <definedName name="XCVZ">#REF!</definedName>
    <definedName name="XXX">#REF!</definedName>
    <definedName name="XXXX">#REF!</definedName>
    <definedName name="xxxxx">#REF!</definedName>
    <definedName name="z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0" i="3" l="1"/>
  <c r="J201" i="3" s="1"/>
  <c r="J196" i="3"/>
  <c r="J198" i="3" s="1"/>
  <c r="J202" i="3" s="1"/>
  <c r="J203" i="3" s="1"/>
  <c r="J205" i="3" s="1"/>
  <c r="J183" i="3"/>
  <c r="J184" i="3" s="1"/>
  <c r="J185" i="3" s="1"/>
  <c r="J169" i="3"/>
  <c r="J171" i="3" s="1"/>
  <c r="J173" i="3"/>
  <c r="J174" i="3" s="1"/>
  <c r="J159" i="3"/>
  <c r="J160" i="3" s="1"/>
  <c r="J156" i="3"/>
  <c r="J157" i="3" s="1"/>
  <c r="J143" i="3"/>
  <c r="J144" i="3" s="1"/>
  <c r="J146" i="3"/>
  <c r="J147" i="3" s="1"/>
  <c r="J129" i="3"/>
  <c r="J131" i="3" s="1"/>
  <c r="J133" i="3"/>
  <c r="J134" i="3" s="1"/>
  <c r="J116" i="3"/>
  <c r="J117" i="3" s="1"/>
  <c r="J113" i="3"/>
  <c r="J114" i="3" s="1"/>
  <c r="J103" i="3"/>
  <c r="J104" i="3" s="1"/>
  <c r="J100" i="3"/>
  <c r="J101" i="3" s="1"/>
  <c r="J87" i="3"/>
  <c r="J88" i="3" s="1"/>
  <c r="J90" i="3"/>
  <c r="J91" i="3" s="1"/>
  <c r="J77" i="3"/>
  <c r="J78" i="3" s="1"/>
  <c r="J75" i="3"/>
  <c r="F48" i="11"/>
  <c r="H263" i="3"/>
  <c r="H262" i="3"/>
  <c r="H256" i="3"/>
  <c r="H255" i="3"/>
  <c r="H249" i="3"/>
  <c r="H248" i="3"/>
  <c r="H242" i="3"/>
  <c r="H241" i="3"/>
  <c r="H235" i="3"/>
  <c r="H234" i="3"/>
  <c r="H233" i="3"/>
  <c r="F32" i="1"/>
  <c r="F42" i="1"/>
  <c r="F41" i="1"/>
  <c r="F46" i="1"/>
  <c r="F40" i="1"/>
  <c r="F43" i="1"/>
  <c r="F39" i="1"/>
  <c r="F35" i="1"/>
  <c r="F36" i="1"/>
  <c r="F34" i="1"/>
  <c r="F33" i="1"/>
  <c r="F28" i="1"/>
  <c r="F29" i="1"/>
  <c r="F27" i="1"/>
  <c r="F26" i="1"/>
  <c r="H34" i="3"/>
  <c r="H33" i="3"/>
  <c r="I39" i="3"/>
  <c r="F49" i="1"/>
  <c r="O52" i="4"/>
  <c r="O53" i="4"/>
  <c r="O54" i="4"/>
  <c r="O55" i="4"/>
  <c r="O51" i="4"/>
  <c r="C46" i="11"/>
  <c r="C44" i="11"/>
  <c r="J186" i="3" l="1"/>
  <c r="J188" i="3" s="1"/>
  <c r="J175" i="3"/>
  <c r="J176" i="3" s="1"/>
  <c r="J178" i="3" s="1"/>
  <c r="J161" i="3"/>
  <c r="J162" i="3" s="1"/>
  <c r="J164" i="3" s="1"/>
  <c r="J135" i="3"/>
  <c r="J136" i="3" s="1"/>
  <c r="J138" i="3" s="1"/>
  <c r="J148" i="3"/>
  <c r="J149" i="3" s="1"/>
  <c r="J151" i="3" s="1"/>
  <c r="J118" i="3"/>
  <c r="J119" i="3" s="1"/>
  <c r="J121" i="3" s="1"/>
  <c r="J105" i="3"/>
  <c r="J92" i="3"/>
  <c r="J79" i="3"/>
  <c r="J80" i="3" s="1"/>
  <c r="J82" i="3" s="1"/>
  <c r="H243" i="3"/>
  <c r="F218" i="3" s="1"/>
  <c r="I218" i="3" s="1"/>
  <c r="H264" i="3"/>
  <c r="I260" i="3" s="1"/>
  <c r="H250" i="3"/>
  <c r="F219" i="3" s="1"/>
  <c r="I219" i="3" s="1"/>
  <c r="H257" i="3"/>
  <c r="F225" i="3" s="1"/>
  <c r="I225" i="3" s="1"/>
  <c r="I226" i="3" s="1"/>
  <c r="G50" i="1" s="1"/>
  <c r="H236" i="3"/>
  <c r="I231" i="3" s="1"/>
  <c r="E53" i="4"/>
  <c r="E55" i="4"/>
  <c r="E52" i="4"/>
  <c r="E51" i="4"/>
  <c r="H39" i="1"/>
  <c r="I39" i="1" s="1"/>
  <c r="H40" i="1"/>
  <c r="I40" i="1" s="1"/>
  <c r="H41" i="1"/>
  <c r="I41" i="1" s="1"/>
  <c r="H42" i="1"/>
  <c r="I42" i="1" s="1"/>
  <c r="H43" i="1"/>
  <c r="I43" i="1" s="1"/>
  <c r="J106" i="3" l="1"/>
  <c r="J108" i="3" s="1"/>
  <c r="J93" i="3"/>
  <c r="J95" i="3" s="1"/>
  <c r="F220" i="3"/>
  <c r="I220" i="3" s="1"/>
  <c r="I239" i="3"/>
  <c r="I253" i="3"/>
  <c r="F217" i="3"/>
  <c r="I217" i="3" s="1"/>
  <c r="I38" i="1"/>
  <c r="H50" i="1"/>
  <c r="I50" i="1" s="1"/>
  <c r="I221" i="3" l="1"/>
  <c r="I227" i="3" s="1"/>
  <c r="H34" i="1"/>
  <c r="I34" i="1" s="1"/>
  <c r="H35" i="1"/>
  <c r="I35" i="1" s="1"/>
  <c r="H36" i="1"/>
  <c r="I36" i="1" s="1"/>
  <c r="H33" i="1"/>
  <c r="I33" i="1" s="1"/>
  <c r="H32" i="1"/>
  <c r="I32" i="1" s="1"/>
  <c r="I31" i="1" s="1"/>
  <c r="H43" i="4"/>
  <c r="O43" i="4" s="1"/>
  <c r="L39" i="3"/>
  <c r="G49" i="1" l="1"/>
  <c r="H49" i="1" s="1"/>
  <c r="H211" i="3"/>
  <c r="I49" i="1" l="1"/>
  <c r="I48" i="1" s="1"/>
  <c r="H22" i="1"/>
  <c r="O39" i="4"/>
  <c r="O38" i="4"/>
  <c r="C14" i="2"/>
  <c r="C16" i="3" s="1"/>
  <c r="C12" i="6" s="1"/>
  <c r="C16" i="7" s="1"/>
  <c r="B18" i="4"/>
  <c r="H53" i="3" l="1"/>
  <c r="H52" i="3"/>
  <c r="H51" i="3"/>
  <c r="H28" i="3" l="1"/>
  <c r="H27" i="3"/>
  <c r="H26" i="3"/>
  <c r="H25" i="3"/>
  <c r="H22" i="3"/>
  <c r="H21" i="3"/>
  <c r="O37" i="4"/>
  <c r="H60" i="3"/>
  <c r="H61" i="3"/>
  <c r="H62" i="3"/>
  <c r="H63" i="3"/>
  <c r="H64" i="3"/>
  <c r="H65" i="3"/>
  <c r="H66" i="3"/>
  <c r="H67" i="3"/>
  <c r="I46" i="3"/>
  <c r="L46" i="3" s="1"/>
  <c r="I45" i="3"/>
  <c r="L45" i="3" s="1"/>
  <c r="I44" i="3"/>
  <c r="L44" i="3" s="1"/>
  <c r="I43" i="3"/>
  <c r="L43" i="3" s="1"/>
  <c r="I42" i="3"/>
  <c r="L42" i="3" s="1"/>
  <c r="I41" i="3"/>
  <c r="L41" i="3" s="1"/>
  <c r="I40" i="3"/>
  <c r="L40" i="3" s="1"/>
  <c r="H59" i="3"/>
  <c r="H58" i="3"/>
  <c r="H57" i="3"/>
  <c r="H56" i="3"/>
  <c r="O35" i="4"/>
  <c r="O49" i="4"/>
  <c r="O47" i="4"/>
  <c r="O46" i="4"/>
  <c r="O45" i="4"/>
  <c r="O44" i="4"/>
  <c r="O41" i="4"/>
  <c r="O40" i="4"/>
  <c r="J37" i="3" l="1"/>
  <c r="G28" i="1" s="1"/>
  <c r="H28" i="1" s="1"/>
  <c r="I28" i="1" s="1"/>
  <c r="D32" i="11"/>
  <c r="H33" i="11" s="1"/>
  <c r="D30" i="11"/>
  <c r="D22" i="11"/>
  <c r="H23" i="11" s="1"/>
  <c r="D24" i="11"/>
  <c r="G25" i="11" s="1"/>
  <c r="D34" i="11"/>
  <c r="H35" i="11" s="1"/>
  <c r="D36" i="11"/>
  <c r="D38" i="11"/>
  <c r="H39" i="11" s="1"/>
  <c r="D40" i="11"/>
  <c r="D28" i="11"/>
  <c r="D26" i="11"/>
  <c r="H54" i="3"/>
  <c r="H68" i="3"/>
  <c r="O30" i="4"/>
  <c r="O34" i="4"/>
  <c r="O33" i="4"/>
  <c r="O32" i="4"/>
  <c r="F26" i="4"/>
  <c r="D33" i="7"/>
  <c r="D60" i="7"/>
  <c r="D49" i="7"/>
  <c r="D41" i="7"/>
  <c r="D45" i="7"/>
  <c r="D37" i="7"/>
  <c r="H49" i="3" l="1"/>
  <c r="G29" i="1" s="1"/>
  <c r="H29" i="1" s="1"/>
  <c r="I29" i="1" s="1"/>
  <c r="D18" i="11"/>
  <c r="D46" i="11"/>
  <c r="D44" i="11"/>
  <c r="H29" i="11"/>
  <c r="I29" i="11"/>
  <c r="H31" i="11"/>
  <c r="I31" i="11"/>
  <c r="I41" i="11"/>
  <c r="J41" i="11"/>
  <c r="H37" i="11"/>
  <c r="I37" i="11"/>
  <c r="D12" i="11"/>
  <c r="I39" i="11"/>
  <c r="G23" i="11"/>
  <c r="J39" i="11"/>
  <c r="H27" i="11"/>
  <c r="G27" i="11"/>
  <c r="D62" i="7"/>
  <c r="N31" i="6"/>
  <c r="N30" i="6"/>
  <c r="N29" i="6"/>
  <c r="N28" i="6"/>
  <c r="D20" i="11" l="1"/>
  <c r="G21" i="11" s="1"/>
  <c r="J19" i="11"/>
  <c r="G19" i="11"/>
  <c r="G47" i="11"/>
  <c r="H47" i="11"/>
  <c r="I47" i="11"/>
  <c r="J47" i="11"/>
  <c r="G45" i="11"/>
  <c r="I45" i="11"/>
  <c r="J45" i="11"/>
  <c r="H45" i="11"/>
  <c r="D17" i="9"/>
  <c r="F13" i="11"/>
  <c r="P28" i="6"/>
  <c r="N33" i="6"/>
  <c r="T29" i="6"/>
  <c r="U29" i="6" s="1"/>
  <c r="P29" i="6"/>
  <c r="V30" i="6"/>
  <c r="P30" i="6"/>
  <c r="V31" i="6"/>
  <c r="P31" i="6"/>
  <c r="V32" i="6"/>
  <c r="P32" i="6"/>
  <c r="V28" i="6"/>
  <c r="O30" i="6"/>
  <c r="T30" i="6"/>
  <c r="U30" i="6" s="1"/>
  <c r="O28" i="6"/>
  <c r="Q28" i="6" s="1"/>
  <c r="T28" i="6"/>
  <c r="U28" i="6" s="1"/>
  <c r="O32" i="6"/>
  <c r="T32" i="6"/>
  <c r="O29" i="6"/>
  <c r="V29" i="6"/>
  <c r="T31" i="6"/>
  <c r="U31" i="6" s="1"/>
  <c r="O31" i="6"/>
  <c r="P33" i="6" l="1"/>
  <c r="W28" i="6"/>
  <c r="Q31" i="6"/>
  <c r="W31" i="6" s="1"/>
  <c r="Q32" i="6"/>
  <c r="W32" i="6" s="1"/>
  <c r="Q29" i="6"/>
  <c r="W29" i="6" s="1"/>
  <c r="Q30" i="6"/>
  <c r="W30" i="6" s="1"/>
  <c r="O33" i="6"/>
  <c r="W33" i="6" l="1"/>
  <c r="Q33" i="6"/>
  <c r="V35" i="6" l="1"/>
  <c r="H42" i="2" l="1"/>
  <c r="H43" i="2" s="1"/>
  <c r="H33" i="2"/>
  <c r="H34" i="2"/>
  <c r="H26" i="2"/>
  <c r="H25" i="2"/>
  <c r="H24" i="2"/>
  <c r="H23" i="2"/>
  <c r="H21" i="2"/>
  <c r="D14" i="9"/>
  <c r="I23" i="1"/>
  <c r="D11" i="9" s="1"/>
  <c r="D15" i="9" l="1"/>
  <c r="H208" i="3"/>
  <c r="G46" i="1" s="1"/>
  <c r="H46" i="1" s="1"/>
  <c r="I46" i="1" s="1"/>
  <c r="I45" i="1" s="1"/>
  <c r="H23" i="3"/>
  <c r="H29" i="3"/>
  <c r="H35" i="3"/>
  <c r="H31" i="3" s="1"/>
  <c r="G27" i="1" s="1"/>
  <c r="H35" i="2"/>
  <c r="H27" i="2"/>
  <c r="H17" i="2" s="1"/>
  <c r="H27" i="1" l="1"/>
  <c r="H19" i="3"/>
  <c r="G26" i="1" s="1"/>
  <c r="H47" i="2"/>
  <c r="I27" i="1" l="1"/>
  <c r="H26" i="1"/>
  <c r="I26" i="1" s="1"/>
  <c r="D14" i="11" s="1"/>
  <c r="G15" i="11" s="1"/>
  <c r="D42" i="11"/>
  <c r="J43" i="11" s="1"/>
  <c r="D16" i="9"/>
  <c r="I25" i="1" l="1"/>
  <c r="D16" i="11"/>
  <c r="G17" i="11" l="1"/>
  <c r="G48" i="11" s="1"/>
  <c r="D48" i="11"/>
  <c r="D13" i="9"/>
  <c r="D18" i="9" s="1"/>
  <c r="I52" i="1"/>
  <c r="I17" i="11"/>
  <c r="I48" i="11" s="1"/>
  <c r="J17" i="11"/>
  <c r="J48" i="11" s="1"/>
  <c r="H17" i="11"/>
  <c r="H48" i="11" s="1"/>
  <c r="H54" i="1" l="1"/>
</calcChain>
</file>

<file path=xl/sharedStrings.xml><?xml version="1.0" encoding="utf-8"?>
<sst xmlns="http://schemas.openxmlformats.org/spreadsheetml/2006/main" count="1092" uniqueCount="372">
  <si>
    <t>ITEM</t>
  </si>
  <si>
    <t>DESCRIÇÃO</t>
  </si>
  <si>
    <t>UNIDADE</t>
  </si>
  <si>
    <t>QUANTIDADE</t>
  </si>
  <si>
    <t>VALOR UNITÁRIO SEM BDI</t>
  </si>
  <si>
    <t>VALOR UNITÁRIO COM BDI</t>
  </si>
  <si>
    <t>REFERÊNCIA</t>
  </si>
  <si>
    <t>VALOR TOTAL COM BDI</t>
  </si>
  <si>
    <t>ELABORAÇÃO DE PROJETO EXECUTIVO</t>
  </si>
  <si>
    <t>1.1</t>
  </si>
  <si>
    <t>Elaboração de Projeto Executivo</t>
  </si>
  <si>
    <t>TOTAL DA META 1 COM BDI</t>
  </si>
  <si>
    <t>SERVIÇOS PRELIMINARES</t>
  </si>
  <si>
    <t>SERVIÇOS DE TERRAPLANAGEM</t>
  </si>
  <si>
    <t>SERVIÇO DE REVESTIMENTO PRIMÁRIO</t>
  </si>
  <si>
    <t>RECUPERAÇÃO DE ÁREAS DEGRADADAS</t>
  </si>
  <si>
    <t>Composição própria</t>
  </si>
  <si>
    <t>2.1</t>
  </si>
  <si>
    <t>Placa de obra em aço galvanizado com dimensões 3,00 X 2,00 m</t>
  </si>
  <si>
    <t>m2</t>
  </si>
  <si>
    <t>2.2</t>
  </si>
  <si>
    <t>Administração local da obra</t>
  </si>
  <si>
    <t>mês</t>
  </si>
  <si>
    <t>2.3</t>
  </si>
  <si>
    <t>Mobilização e desmobilização de equipamentos</t>
  </si>
  <si>
    <t>und</t>
  </si>
  <si>
    <t>Escavação, carga e transporte de material de 1ª categoria</t>
  </si>
  <si>
    <t>m³</t>
  </si>
  <si>
    <t>3.1</t>
  </si>
  <si>
    <t>Desmatamento, destocamento, limpeza de área e estocagem do material de limpeza com árvores de diâmetro até 0,15 m</t>
  </si>
  <si>
    <t>m²</t>
  </si>
  <si>
    <t>3.2</t>
  </si>
  <si>
    <t>3.3</t>
  </si>
  <si>
    <t>3.4</t>
  </si>
  <si>
    <t>3.5</t>
  </si>
  <si>
    <t>Transporte de material - bota fora</t>
  </si>
  <si>
    <t>Regularização do subleito</t>
  </si>
  <si>
    <t>Compactação de aterros a 100% do Proctor normal</t>
  </si>
  <si>
    <t>Limpeza mecanizada da camada vegetal em jazida</t>
  </si>
  <si>
    <t>Expurgo de jazida</t>
  </si>
  <si>
    <t>Escavação e carga de material de jazida</t>
  </si>
  <si>
    <t>Transporte com caminhão basculante de 10 m³ - rodovia em revestimento primário</t>
  </si>
  <si>
    <t>tkm</t>
  </si>
  <si>
    <t>4.1</t>
  </si>
  <si>
    <t>4.2</t>
  </si>
  <si>
    <t>4.3</t>
  </si>
  <si>
    <t>4.4</t>
  </si>
  <si>
    <t>4.5</t>
  </si>
  <si>
    <t>5.1</t>
  </si>
  <si>
    <t>Recuperação de danos físicos ao meio ambiente</t>
  </si>
  <si>
    <t>TOTAL DA META 2 COM BDI</t>
  </si>
  <si>
    <r>
      <t xml:space="preserve">OBJETO: </t>
    </r>
    <r>
      <rPr>
        <b/>
        <sz val="12"/>
        <color theme="1"/>
        <rFont val="Calibri"/>
        <family val="2"/>
        <scheme val="minor"/>
      </rPr>
      <t>Recupoeração de estradas vicinais</t>
    </r>
  </si>
  <si>
    <r>
      <t xml:space="preserve">PROPONENTE: </t>
    </r>
    <r>
      <rPr>
        <b/>
        <sz val="12"/>
        <color theme="1"/>
        <rFont val="Calibri"/>
        <family val="2"/>
        <scheme val="minor"/>
      </rPr>
      <t>Pefeitura Municipal de Santo Antônio dos Lopes - MA</t>
    </r>
  </si>
  <si>
    <r>
      <t xml:space="preserve">LOCAL: </t>
    </r>
    <r>
      <rPr>
        <b/>
        <sz val="12"/>
        <color theme="1"/>
        <rFont val="Calibri"/>
        <family val="2"/>
        <scheme val="minor"/>
      </rPr>
      <t>Santo Antônio dos Lopes - MA</t>
    </r>
  </si>
  <si>
    <t xml:space="preserve">BDI: </t>
  </si>
  <si>
    <t>VALOR TOTAL (META 1 + META 2)</t>
  </si>
  <si>
    <t>Custos com recursos humanos</t>
  </si>
  <si>
    <t>ENGENHEIRO CIVIL</t>
  </si>
  <si>
    <t>H</t>
  </si>
  <si>
    <t>VALOR UNITÁRIO</t>
  </si>
  <si>
    <t>TOPOGRAFO</t>
  </si>
  <si>
    <t>AUXILIAR DE TOPOGRAFO</t>
  </si>
  <si>
    <t>DESENHISTA TECNICO AUXILIAR</t>
  </si>
  <si>
    <t>VALOR TOTAL</t>
  </si>
  <si>
    <t>Coordenação Geral</t>
  </si>
  <si>
    <t>Equipe Técnica</t>
  </si>
  <si>
    <t>TOTAL RECURSOS HUMANOS</t>
  </si>
  <si>
    <t>Custos com trabalhos de campo</t>
  </si>
  <si>
    <t>Trabalhos de levantamento de dados em campo</t>
  </si>
  <si>
    <t>Estação Total classe 2</t>
  </si>
  <si>
    <t>CAMINHONETE</t>
  </si>
  <si>
    <t>Custos com material e equipamento</t>
  </si>
  <si>
    <t>SICRO</t>
  </si>
  <si>
    <t>E9507</t>
  </si>
  <si>
    <t>Impressão e plotagem</t>
  </si>
  <si>
    <t>Plotagem de projetos</t>
  </si>
  <si>
    <t>TOTAL COM MATERIAL E EQUIPAMENTO</t>
  </si>
  <si>
    <t>CUSTO DO PROJETO</t>
  </si>
  <si>
    <t>Custo coim recursos humanos + custos com trabalho de campo + custos com equipamentos sem BDI</t>
  </si>
  <si>
    <t>Custo coim recursos humanos + custos com trabalho de campo + custos com equipamentos COM BDI</t>
  </si>
  <si>
    <t xml:space="preserve"> </t>
  </si>
  <si>
    <t>Mão de obra</t>
  </si>
  <si>
    <t>SINAPI</t>
  </si>
  <si>
    <t>CARPINTEIRO DE FORMAS</t>
  </si>
  <si>
    <t>SERVENTE DE OBRAS</t>
  </si>
  <si>
    <t>Material</t>
  </si>
  <si>
    <t>SARRAFO NAO APARELHADO *2,5 X 7* CM,</t>
  </si>
  <si>
    <t>M</t>
  </si>
  <si>
    <t>PONTALETE *7,5 X 7,5* CM</t>
  </si>
  <si>
    <t>PLACA DE OBRA (PARA CONSTRUCAO CIVIL) EM CHAPA GALVANIZADA *N. 22)</t>
  </si>
  <si>
    <t>M2</t>
  </si>
  <si>
    <t>PREGO DE ACO POLIDO COM CABECA 18 X 30 (2 3/4 X 10)</t>
  </si>
  <si>
    <t>KG</t>
  </si>
  <si>
    <t>SUB TOTAL</t>
  </si>
  <si>
    <t>ENGENHEIRO CIVIL PLENO</t>
  </si>
  <si>
    <t>ENCARREGADO GERAL</t>
  </si>
  <si>
    <t>Equimapentos transportados</t>
  </si>
  <si>
    <t>CÓDIGO DE REFERÊNCIA</t>
  </si>
  <si>
    <t>DISTÂNCIA (KM)</t>
  </si>
  <si>
    <t>CUSTO HORÁRIO DE TRANSPORTE (CH)</t>
  </si>
  <si>
    <t>CUSTO HORÁRIO</t>
  </si>
  <si>
    <t>N⍛ DE VIAGENS</t>
  </si>
  <si>
    <t>E9042</t>
  </si>
  <si>
    <t>Trator sobre esteiras com lâmina - 97 kW</t>
  </si>
  <si>
    <t>E9577</t>
  </si>
  <si>
    <t>Trator agrícola sobre pneus - 77 kW</t>
  </si>
  <si>
    <t>E9524</t>
  </si>
  <si>
    <t>Motoniveladora - 93 kW</t>
  </si>
  <si>
    <t>E9584</t>
  </si>
  <si>
    <t>Carregadeira de pneus com capacidade de 1,72 m³ - 113 kW</t>
  </si>
  <si>
    <t>E9685</t>
  </si>
  <si>
    <t>Rolo compactador pé de carneiro vibratório autopropelido por pneus de 11,6 t - 82 kW</t>
  </si>
  <si>
    <t>E9110</t>
  </si>
  <si>
    <t>Escavadeira hidráulica sobre esteiras para rocha com caçamba com capacidade de 1,56 m³ - "118 kW"</t>
  </si>
  <si>
    <t>E9579</t>
  </si>
  <si>
    <t>Caminhão basculante com capacidade de 10 m³ - 188 kW</t>
  </si>
  <si>
    <t>E9571</t>
  </si>
  <si>
    <t>Caminhão tanque com capacidade de 10.000 l - 188 kW</t>
  </si>
  <si>
    <t>E9665</t>
  </si>
  <si>
    <t>DISCRIMINAÇÃO</t>
  </si>
  <si>
    <t>Cavalo mecânico com semirreboque com capacidade de 22 t - 240 kW</t>
  </si>
  <si>
    <t>Equipamento</t>
  </si>
  <si>
    <t>QUANTITATIVOS</t>
  </si>
  <si>
    <t>LARGURA</t>
  </si>
  <si>
    <t>COMPRIMENTO</t>
  </si>
  <si>
    <t>ESPESSURA</t>
  </si>
  <si>
    <t>ALTURA</t>
  </si>
  <si>
    <t>ÁREA</t>
  </si>
  <si>
    <t>VOLUME</t>
  </si>
  <si>
    <t>EMPOLAMENTO</t>
  </si>
  <si>
    <t>PESO</t>
  </si>
  <si>
    <t>PESO ESPECIFICO</t>
  </si>
  <si>
    <t>TOTAL</t>
  </si>
  <si>
    <t>LEVANTAMENTO DE DADOS</t>
  </si>
  <si>
    <t>TRECHOS</t>
  </si>
  <si>
    <t>BAIXÃO DO MESQUITA X SANTA EDWIRGES</t>
  </si>
  <si>
    <t>SEDE X RANCHADA</t>
  </si>
  <si>
    <t>RANCHADA BAIXÃO DO MESQUITA</t>
  </si>
  <si>
    <t>HUMAITÁ X SANTANA</t>
  </si>
  <si>
    <t>m</t>
  </si>
  <si>
    <t>OBJETO:</t>
  </si>
  <si>
    <t>Recuperação de Estradas Vicinais no Município de Santo Antônio dos Lopes/MA</t>
  </si>
  <si>
    <t>LOCAL:</t>
  </si>
  <si>
    <t>Santo Antônio dos Lopes/MA</t>
  </si>
  <si>
    <t>PROPONENTE:</t>
  </si>
  <si>
    <t>Prefeitura Municipal de Santo Antônio dos Lopes/MA</t>
  </si>
  <si>
    <t>DATA REF.:</t>
  </si>
  <si>
    <t>SINAPI 01/2022 E DNIT SICRO 3 10/2021</t>
  </si>
  <si>
    <t>ENCARGOS SOCIAIS:</t>
  </si>
  <si>
    <t>BDI:</t>
  </si>
  <si>
    <t>VALORES DE DISTRIBUIÇÃO DE MATERIAL DE JAZIDA - DMT</t>
  </si>
  <si>
    <t>Empolamento</t>
  </si>
  <si>
    <t>Peso específico</t>
  </si>
  <si>
    <t>Espessura da camada</t>
  </si>
  <si>
    <t>Distância entre estacas</t>
  </si>
  <si>
    <t>Largura da via</t>
  </si>
  <si>
    <t>JAZIDA UTILIZADA</t>
  </si>
  <si>
    <t>LOCALIZAÇÃO 
DA JAZIDA</t>
  </si>
  <si>
    <t>SUB-TRECHO</t>
  </si>
  <si>
    <t xml:space="preserve">EXTENSÃO (m) </t>
  </si>
  <si>
    <t>VOLUME EMPOLADO (20%)</t>
  </si>
  <si>
    <t>PESO (t)</t>
  </si>
  <si>
    <t>D (m)</t>
  </si>
  <si>
    <t>d1 (m)</t>
  </si>
  <si>
    <t>d2 (m)</t>
  </si>
  <si>
    <t>DISTANCIA 
FIXA (km)</t>
  </si>
  <si>
    <t>TAMANHO MÉDIO DO 
SUB-TRECHO (km)</t>
  </si>
  <si>
    <t>MT SUB-TRECHO</t>
  </si>
  <si>
    <t>PE.</t>
  </si>
  <si>
    <t>P. ESP.</t>
  </si>
  <si>
    <t>QUANT.</t>
  </si>
  <si>
    <t>ST</t>
  </si>
  <si>
    <t>J13</t>
  </si>
  <si>
    <t>E=</t>
  </si>
  <si>
    <t>+</t>
  </si>
  <si>
    <t>até</t>
  </si>
  <si>
    <t>J12</t>
  </si>
  <si>
    <t>J04</t>
  </si>
  <si>
    <t>J01</t>
  </si>
  <si>
    <t>-</t>
  </si>
  <si>
    <t>DMT</t>
  </si>
  <si>
    <t>km</t>
  </si>
  <si>
    <t>COMPOSIÇÃO DO BDI</t>
  </si>
  <si>
    <t>Administração Central</t>
  </si>
  <si>
    <t>Despesas Financeiras</t>
  </si>
  <si>
    <t>Onde:</t>
  </si>
  <si>
    <t>Para cálculo do BDI, deverá ser adotada a seguinte fórmula:</t>
  </si>
  <si>
    <t>BDI = (((1+AC+S+R+G)*(1+DF)*(1-L)/(1-I))-1</t>
  </si>
  <si>
    <t>AC</t>
  </si>
  <si>
    <t>VALOR %</t>
  </si>
  <si>
    <t>AC = Administração Central</t>
  </si>
  <si>
    <t>S = Seguros</t>
  </si>
  <si>
    <t>R = Riscos</t>
  </si>
  <si>
    <t>L = Lucro</t>
  </si>
  <si>
    <t>I = Impostos (PIS, COFINS, ISSQN, CPRB)</t>
  </si>
  <si>
    <t>total AC =</t>
  </si>
  <si>
    <t xml:space="preserve">DF </t>
  </si>
  <si>
    <t>total DF =</t>
  </si>
  <si>
    <t>R</t>
  </si>
  <si>
    <t>Risco</t>
  </si>
  <si>
    <t>S</t>
  </si>
  <si>
    <t>Seguros</t>
  </si>
  <si>
    <t>Total S =</t>
  </si>
  <si>
    <t>Total R =</t>
  </si>
  <si>
    <t>G</t>
  </si>
  <si>
    <t>Garantias</t>
  </si>
  <si>
    <t>Total G =</t>
  </si>
  <si>
    <t>L</t>
  </si>
  <si>
    <t>Lucro Bruto</t>
  </si>
  <si>
    <t xml:space="preserve">Lucro </t>
  </si>
  <si>
    <t>Taxa de Garantias</t>
  </si>
  <si>
    <t>Taxa de Riscos</t>
  </si>
  <si>
    <t>Taxa de Seguros</t>
  </si>
  <si>
    <t xml:space="preserve">Total L = </t>
  </si>
  <si>
    <t>I</t>
  </si>
  <si>
    <t>Impostos</t>
  </si>
  <si>
    <t>PIS</t>
  </si>
  <si>
    <t>CONFINS</t>
  </si>
  <si>
    <t>ISSQN</t>
  </si>
  <si>
    <t>CPRB</t>
  </si>
  <si>
    <t>Total I =</t>
  </si>
  <si>
    <t>TOTAL BDI =</t>
  </si>
  <si>
    <t xml:space="preserve">QUANTIDADE </t>
  </si>
  <si>
    <t>volume extraido da planilha de cubação</t>
  </si>
  <si>
    <t>2.4</t>
  </si>
  <si>
    <t>Barracão de Obra</t>
  </si>
  <si>
    <t xml:space="preserve">CARPINTEIRO DE FORMAS (HORISTA) </t>
  </si>
  <si>
    <t xml:space="preserve">H </t>
  </si>
  <si>
    <t xml:space="preserve">PEDREIRO (HORISTA) </t>
  </si>
  <si>
    <t xml:space="preserve">SERVENTE DE OBRAS </t>
  </si>
  <si>
    <t>SUBTOTAL</t>
  </si>
  <si>
    <t xml:space="preserve">TABUA NAO APARELHADA *2,5 X 30* CM </t>
  </si>
  <si>
    <t xml:space="preserve">M </t>
  </si>
  <si>
    <t xml:space="preserve">PILAR DE MADEIRA QUADRADO NAO APARELHADO </t>
  </si>
  <si>
    <t>VIGA DE MADEIRA  APARELHADA *6 X 12* CM</t>
  </si>
  <si>
    <t xml:space="preserve">TELHA DE FIBROCIMENTO ONDULADA E = 4 MM, DE 2,44 X 0,50 M </t>
  </si>
  <si>
    <t xml:space="preserve">M2 </t>
  </si>
  <si>
    <t xml:space="preserve">TABUA *2,5 X 30 CM EM PINUS, MISTA OU EQUIVALENTE DA REGIAO </t>
  </si>
  <si>
    <t>BRITA</t>
  </si>
  <si>
    <t xml:space="preserve">M3 </t>
  </si>
  <si>
    <t xml:space="preserve">AREIA GROSSA - POSTO JAZIDA </t>
  </si>
  <si>
    <t xml:space="preserve">CIMENTO PORTLAND </t>
  </si>
  <si>
    <t xml:space="preserve">KG </t>
  </si>
  <si>
    <t xml:space="preserve">PREGO DE ACO POLIDO COM CABECA 18 X 27 </t>
  </si>
  <si>
    <t xml:space="preserve">SARRAFO NAO APARELHADO *2,5 X 10* CM </t>
  </si>
  <si>
    <t xml:space="preserve">CHAPA/PAINEL DE MADEIRA COMPENSADA RESINADA </t>
  </si>
  <si>
    <t xml:space="preserve">PREGO DE ACO POLIDO COM CABECA 15 X 15 </t>
  </si>
  <si>
    <t>META 1</t>
  </si>
  <si>
    <t>META 2</t>
  </si>
  <si>
    <t>TOTAL GERAL (META 1 + META 2)</t>
  </si>
  <si>
    <t>%</t>
  </si>
  <si>
    <t>$</t>
  </si>
  <si>
    <t>MÊS 1</t>
  </si>
  <si>
    <t>MÊS 2</t>
  </si>
  <si>
    <t>MÊS 3</t>
  </si>
  <si>
    <t>MÊ 4</t>
  </si>
  <si>
    <t>MÊS 5</t>
  </si>
  <si>
    <t xml:space="preserve">ITEM </t>
  </si>
  <si>
    <t>VALOR</t>
  </si>
  <si>
    <t>ESTAQUEAMENTO</t>
  </si>
  <si>
    <t>RANCHADA A BAIXÃO DO MESQUITA</t>
  </si>
  <si>
    <t>SEDE A RANCHADA</t>
  </si>
  <si>
    <t>BAIXÃO DO MESQUITA A S.EDWIRGENS</t>
  </si>
  <si>
    <t xml:space="preserve">TRECHO 1.1 
</t>
  </si>
  <si>
    <t>TRECHO 1.2</t>
  </si>
  <si>
    <t>TRECHO 1.3</t>
  </si>
  <si>
    <t>Espalhamento de material</t>
  </si>
  <si>
    <t>Regularização de superfície com motoniveladora</t>
  </si>
  <si>
    <r>
      <t xml:space="preserve">REFERÊNCIAS: </t>
    </r>
    <r>
      <rPr>
        <b/>
        <sz val="12"/>
        <color theme="1"/>
        <rFont val="Calibri"/>
        <family val="2"/>
        <scheme val="minor"/>
      </rPr>
      <t>SICRO 01/2023 e SINAPI 04/2023</t>
    </r>
  </si>
  <si>
    <t>CONVÊNIO</t>
  </si>
  <si>
    <t>924574/2021</t>
  </si>
  <si>
    <t>ORÇAMENTO SINTÉTICO</t>
  </si>
  <si>
    <t>ORÇAMENTO GERAL</t>
  </si>
  <si>
    <t>CRONOGRAMA FISICO-FINANCEIRO</t>
  </si>
  <si>
    <r>
      <t xml:space="preserve">OBJETO: </t>
    </r>
    <r>
      <rPr>
        <b/>
        <sz val="12"/>
        <color theme="1"/>
        <rFont val="Arial"/>
        <family val="2"/>
      </rPr>
      <t>Recupoeração de estradas vicinais</t>
    </r>
  </si>
  <si>
    <r>
      <t xml:space="preserve">LOCAL: </t>
    </r>
    <r>
      <rPr>
        <b/>
        <sz val="12"/>
        <color theme="1"/>
        <rFont val="Arial"/>
        <family val="2"/>
      </rPr>
      <t>Santo Antônio dos Lopes - MA</t>
    </r>
  </si>
  <si>
    <r>
      <t xml:space="preserve">PROPONENTE: </t>
    </r>
    <r>
      <rPr>
        <b/>
        <sz val="12"/>
        <color theme="1"/>
        <rFont val="Arial"/>
        <family val="2"/>
      </rPr>
      <t>Pefeitura Municipal de Santo Antônio dos Lopes - MA</t>
    </r>
  </si>
  <si>
    <r>
      <t xml:space="preserve">REFERÊNCIAS: </t>
    </r>
    <r>
      <rPr>
        <b/>
        <sz val="12"/>
        <color theme="1"/>
        <rFont val="Arial"/>
        <family val="2"/>
      </rPr>
      <t>SICRO 10/2022 e SINAPI 12/2022</t>
    </r>
  </si>
  <si>
    <t>MEMÓRIA DE CÁLCULO</t>
  </si>
  <si>
    <r>
      <t xml:space="preserve">REFERÊNCIAS: </t>
    </r>
    <r>
      <rPr>
        <b/>
        <sz val="12"/>
        <color theme="1"/>
        <rFont val="Arial"/>
        <family val="2"/>
      </rPr>
      <t>SICRO 01/2023 e SINAPI 04/2023</t>
    </r>
  </si>
  <si>
    <t>COMPOSIÇÃO PROJETO EXECUTIVO</t>
  </si>
  <si>
    <r>
      <t xml:space="preserve">REFERÊNCIAS: </t>
    </r>
    <r>
      <rPr>
        <b/>
        <sz val="12"/>
        <color theme="1"/>
        <rFont val="Arial"/>
        <family val="2"/>
      </rPr>
      <t>SICRO01/2023 e SINAPI 04/2023</t>
    </r>
  </si>
  <si>
    <t xml:space="preserve">CPMPOSIÇÃO DE PREÇOS UNITÁRIOS </t>
  </si>
  <si>
    <t>CÁLCULO DE TRANSPORTE - DMT</t>
  </si>
  <si>
    <r>
      <t>t/m</t>
    </r>
    <r>
      <rPr>
        <i/>
        <sz val="12"/>
        <color theme="1"/>
        <rFont val="Arial"/>
        <family val="2"/>
      </rPr>
      <t>³</t>
    </r>
  </si>
  <si>
    <t>SERVIÇOS TÉCNICOS (ENSAIOS)</t>
  </si>
  <si>
    <t>Gralunometria</t>
  </si>
  <si>
    <t>Compactação Proctor Normal</t>
  </si>
  <si>
    <t>Indice de Suporte Califórnia</t>
  </si>
  <si>
    <t>Teor de Umidade. - Speedy</t>
  </si>
  <si>
    <t>Massa Específica - Frasco de Areia</t>
  </si>
  <si>
    <t>6.1</t>
  </si>
  <si>
    <t>6.2</t>
  </si>
  <si>
    <t>6.3</t>
  </si>
  <si>
    <t>6.4</t>
  </si>
  <si>
    <t>6.5</t>
  </si>
  <si>
    <t>VALOR
 UNITÁRIO</t>
  </si>
  <si>
    <t>COEFICIENTE</t>
  </si>
  <si>
    <t>ENGENHEIRO CIVIL DE OBRA PLENO
COM ENCARGOS COMPLEMENTARES</t>
  </si>
  <si>
    <t>h</t>
  </si>
  <si>
    <t>ENCARREGADO GERAL COM
ENCARGOS COMPLEMENTARES</t>
  </si>
  <si>
    <t>ENSAIO - AGREGADOS COMPOSIÇÃO
GRANULOMÉTRICA NBR 7217</t>
  </si>
  <si>
    <t>SBC</t>
  </si>
  <si>
    <t>013805</t>
  </si>
  <si>
    <t xml:space="preserve">condução por conta propria </t>
  </si>
  <si>
    <t>FATOR DE UTILIZAÇÃO</t>
  </si>
  <si>
    <t>BANCO DE DADOS</t>
  </si>
  <si>
    <t>CÓDIGO</t>
  </si>
  <si>
    <t>AUXILIAR DE LABORATÓRIO COM
ENCARGOS COMPLEMENTARES</t>
  </si>
  <si>
    <t>TÉCNICO DE LABORATÓRIO COM
ENCARGOS COMPLEMENTARES</t>
  </si>
  <si>
    <t>Conversão de metro linear para quilômetros (km)</t>
  </si>
  <si>
    <t>Ensaios variáveis de acordo com o numero de trechos</t>
  </si>
  <si>
    <t>Ensaios variáveis de acordo com a extensão</t>
  </si>
  <si>
    <t>UN</t>
  </si>
  <si>
    <t>Quantidade de trechos</t>
  </si>
  <si>
    <t>ESTRADA VICINAL (quilômetro)</t>
  </si>
  <si>
    <t>ENSAIOS VARIÁVEIS DE ACORDO COM A EXTENSÃO</t>
  </si>
  <si>
    <t>EXTENSÃO
(KM)</t>
  </si>
  <si>
    <t xml:space="preserve">GRANULOMETRIA </t>
  </si>
  <si>
    <t>PRÓPRIA</t>
  </si>
  <si>
    <t>Unid</t>
  </si>
  <si>
    <t>COMPACTAÇÃO PROCTOR NORMAL</t>
  </si>
  <si>
    <t>ÍNDICE DE SUPORTE CALIFÓRNIA</t>
  </si>
  <si>
    <t>TEOR DE UMIDADE - SPEEDY</t>
  </si>
  <si>
    <t>TOTAL
PARCIAL</t>
  </si>
  <si>
    <t>ENSAIOS VARIÁVEIS DE ACORDO COM O NÚMERO DE TRECHOS</t>
  </si>
  <si>
    <t>Nº TRECHOS</t>
  </si>
  <si>
    <t>MASSA ESPECÍFICA - FRASCO DE AREIA</t>
  </si>
  <si>
    <t>TOTAL GERAL</t>
  </si>
  <si>
    <t>GRANULOMETRIA (SBC 000130)</t>
  </si>
  <si>
    <t>COMPACTAÇÃO (ORSE 4685)</t>
  </si>
  <si>
    <t>ÍNDICE DE SUPORTE CALIFORNIA - 5 PONTOS (ORSE 4686)</t>
  </si>
  <si>
    <t>MASSA ESPECÍFICA - FRASCO DE AREIA (COMPESA 01.07.10U)</t>
  </si>
  <si>
    <t>TEOR DE UMIDADE - PROCESSO SPEEDY (SETOP 49564)</t>
  </si>
  <si>
    <t>Un</t>
  </si>
  <si>
    <r>
      <t xml:space="preserve">ENCARGOS SOCIAIS: </t>
    </r>
    <r>
      <rPr>
        <b/>
        <sz val="12"/>
        <color theme="1"/>
        <rFont val="Calibri"/>
        <family val="2"/>
        <scheme val="minor"/>
      </rPr>
      <t>113,42% e 71,04% - não desonerado</t>
    </r>
  </si>
  <si>
    <r>
      <t xml:space="preserve">ENCARGOS SOCIAIS: </t>
    </r>
    <r>
      <rPr>
        <b/>
        <sz val="12"/>
        <color theme="1"/>
        <rFont val="Arial"/>
        <family val="2"/>
      </rPr>
      <t>113,42% e 71,04% - não desonerado</t>
    </r>
  </si>
  <si>
    <t>113,42% e 71,04% - não desonerado</t>
  </si>
  <si>
    <t>E9540</t>
  </si>
  <si>
    <t>TRATOR SOBRE ESTEIRAS COM LÂMINA - 127 KW</t>
  </si>
  <si>
    <t>SERVENTE</t>
  </si>
  <si>
    <t>P9824</t>
  </si>
  <si>
    <t>E9511</t>
  </si>
  <si>
    <t>CARREGADEIRA DE PNEUS COM CAPACIDADE DE 3,40 M³ - 195 K</t>
  </si>
  <si>
    <t>CAMINHÃO BASCULANTE COM CAPACIDADE DE 10 M³ - 188 KW</t>
  </si>
  <si>
    <t xml:space="preserve">E9579 </t>
  </si>
  <si>
    <t>Equipamentos</t>
  </si>
  <si>
    <t xml:space="preserve">E9571 </t>
  </si>
  <si>
    <t xml:space="preserve">E9518 </t>
  </si>
  <si>
    <t>Grade de 24 discos rebocável de D = 60 cm (24”)</t>
  </si>
  <si>
    <t xml:space="preserve">E9524 </t>
  </si>
  <si>
    <t xml:space="preserve">E9685 </t>
  </si>
  <si>
    <t xml:space="preserve">E9577 </t>
  </si>
  <si>
    <t>Caminhão basculante com capacidade de 14 m³ - 188 kW</t>
  </si>
  <si>
    <t xml:space="preserve">Produção da equipe </t>
  </si>
  <si>
    <t xml:space="preserve">E9667 </t>
  </si>
  <si>
    <t xml:space="preserve">E9515 </t>
  </si>
  <si>
    <t>Escavadeira hidráulica sobre esteiras com caçamba com capacidade de 1,56 m³ - 118 kW</t>
  </si>
  <si>
    <t>UTILIZAÇÃO</t>
  </si>
  <si>
    <t>CUSTO HORÁRIO TOTAL</t>
  </si>
  <si>
    <t>OPERATIVA</t>
  </si>
  <si>
    <t>IMPRODUTIVA</t>
  </si>
  <si>
    <t>PRODUTIVO</t>
  </si>
  <si>
    <t>IMPRODUTIVO</t>
  </si>
  <si>
    <t>CUSTO HORÁRIO TOTAL DE EQUIPAMENTOS</t>
  </si>
  <si>
    <t>CUSTO TOTAL DE MÃO DE OBRA</t>
  </si>
  <si>
    <t>CUSTO HORÁRIO TOTAL DE EXECUÇÃO</t>
  </si>
  <si>
    <t>CUSTO UNITÁRIO DE EXECUÇÃO</t>
  </si>
  <si>
    <t>CUSTO DO FIC</t>
  </si>
  <si>
    <t>CUSTO UNITÁRIO DIRETO TOTAL</t>
  </si>
  <si>
    <t>Trator sobre esteiras com lâmina - 259 Kw</t>
  </si>
  <si>
    <t>E9541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</si>
</sst>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$&quot;\ * #,##0.00_-;\-&quot;R$&quot;\ * #,##0.00_-;_-&quot;R$&quot;\ * &quot;-&quot;??_-;_-@_-"/>
    <numFmt numFmtId="164" formatCode="#,##0.000"/>
    <numFmt numFmtId="165" formatCode="&quot;R$&quot;\ #,##0.00"/>
    <numFmt numFmtId="166" formatCode="[$-F800]dddd\,\ mmmm\ dd\,\ yyyy"/>
    <numFmt numFmtId="167" formatCode="#,##0.00000000000000000000"/>
    <numFmt numFmtId="168" formatCode="#,##0.00000000000"/>
    <numFmt numFmtId="169" formatCode="0.000"/>
    <numFmt numFmtId="170" formatCode="0.0"/>
    <numFmt numFmtId="171" formatCode="#,##0.0"/>
    <numFmt numFmtId="172" formatCode="#,##0.00000"/>
    <numFmt numFmtId="173" formatCode="&quot;R$&quot;\ #,##0.0000"/>
    <numFmt numFmtId="174" formatCode="#,##0.0000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85">
    <border>
      <left/>
      <right/>
      <top/>
      <bottom/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slantDashDot">
        <color auto="1"/>
      </bottom>
      <diagonal/>
    </border>
    <border>
      <left/>
      <right/>
      <top style="medium">
        <color auto="1"/>
      </top>
      <bottom style="slantDashDot">
        <color auto="1"/>
      </bottom>
      <diagonal/>
    </border>
    <border>
      <left/>
      <right style="medium">
        <color auto="1"/>
      </right>
      <top style="medium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slantDashDot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0" fontId="6" fillId="0" borderId="0">
      <alignment vertical="center"/>
    </xf>
    <xf numFmtId="166" fontId="9" fillId="0" borderId="0"/>
    <xf numFmtId="9" fontId="9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/>
    <xf numFmtId="4" fontId="4" fillId="3" borderId="3" xfId="0" applyNumberFormat="1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2" borderId="4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4" fillId="4" borderId="3" xfId="0" applyFont="1" applyFill="1" applyBorder="1"/>
    <xf numFmtId="4" fontId="3" fillId="4" borderId="3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/>
    </xf>
    <xf numFmtId="0" fontId="11" fillId="0" borderId="0" xfId="0" applyFont="1"/>
    <xf numFmtId="0" fontId="12" fillId="0" borderId="27" xfId="0" applyFont="1" applyBorder="1"/>
    <xf numFmtId="0" fontId="12" fillId="0" borderId="44" xfId="0" applyFont="1" applyBorder="1" applyAlignment="1">
      <alignment horizontal="center" vertical="center"/>
    </xf>
    <xf numFmtId="4" fontId="12" fillId="0" borderId="45" xfId="0" applyNumberFormat="1" applyFont="1" applyBorder="1"/>
    <xf numFmtId="4" fontId="12" fillId="2" borderId="13" xfId="0" applyNumberFormat="1" applyFont="1" applyFill="1" applyBorder="1"/>
    <xf numFmtId="0" fontId="0" fillId="0" borderId="38" xfId="0" applyBorder="1"/>
    <xf numFmtId="0" fontId="0" fillId="0" borderId="39" xfId="0" applyBorder="1"/>
    <xf numFmtId="0" fontId="10" fillId="0" borderId="0" xfId="0" applyFont="1"/>
    <xf numFmtId="10" fontId="2" fillId="0" borderId="0" xfId="0" applyNumberFormat="1" applyFont="1"/>
    <xf numFmtId="0" fontId="2" fillId="0" borderId="0" xfId="0" applyFont="1"/>
    <xf numFmtId="0" fontId="11" fillId="0" borderId="27" xfId="0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0" fontId="11" fillId="4" borderId="27" xfId="0" applyNumberFormat="1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10" fontId="11" fillId="4" borderId="54" xfId="0" applyNumberFormat="1" applyFont="1" applyFill="1" applyBorder="1" applyAlignment="1">
      <alignment horizontal="center" vertical="center"/>
    </xf>
    <xf numFmtId="10" fontId="11" fillId="4" borderId="56" xfId="0" applyNumberFormat="1" applyFont="1" applyFill="1" applyBorder="1" applyAlignment="1">
      <alignment horizontal="center" vertical="center"/>
    </xf>
    <xf numFmtId="4" fontId="11" fillId="0" borderId="45" xfId="0" applyNumberFormat="1" applyFont="1" applyBorder="1" applyAlignment="1">
      <alignment horizontal="center" vertical="center"/>
    </xf>
    <xf numFmtId="10" fontId="11" fillId="4" borderId="45" xfId="0" applyNumberFormat="1" applyFont="1" applyFill="1" applyBorder="1" applyAlignment="1">
      <alignment horizontal="center" vertical="center"/>
    </xf>
    <xf numFmtId="0" fontId="12" fillId="0" borderId="48" xfId="0" applyFont="1" applyBorder="1"/>
    <xf numFmtId="0" fontId="12" fillId="0" borderId="49" xfId="0" applyFont="1" applyBorder="1"/>
    <xf numFmtId="0" fontId="13" fillId="0" borderId="27" xfId="0" applyFont="1" applyBorder="1" applyAlignment="1">
      <alignment horizontal="center" vertical="center"/>
    </xf>
    <xf numFmtId="0" fontId="11" fillId="0" borderId="60" xfId="0" applyFont="1" applyBorder="1"/>
    <xf numFmtId="0" fontId="11" fillId="0" borderId="61" xfId="0" applyFont="1" applyBorder="1"/>
    <xf numFmtId="0" fontId="11" fillId="0" borderId="62" xfId="0" applyFont="1" applyBorder="1"/>
    <xf numFmtId="0" fontId="11" fillId="0" borderId="46" xfId="0" applyFont="1" applyBorder="1"/>
    <xf numFmtId="0" fontId="12" fillId="0" borderId="46" xfId="0" applyFont="1" applyBorder="1"/>
    <xf numFmtId="4" fontId="12" fillId="0" borderId="46" xfId="0" applyNumberFormat="1" applyFont="1" applyBorder="1"/>
    <xf numFmtId="0" fontId="11" fillId="0" borderId="63" xfId="0" applyFont="1" applyBorder="1"/>
    <xf numFmtId="0" fontId="12" fillId="0" borderId="0" xfId="0" applyFont="1"/>
    <xf numFmtId="4" fontId="11" fillId="0" borderId="0" xfId="0" applyNumberFormat="1" applyFont="1"/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4" xfId="0" applyFont="1" applyFill="1" applyBorder="1"/>
    <xf numFmtId="0" fontId="11" fillId="0" borderId="64" xfId="0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4" fontId="11" fillId="0" borderId="26" xfId="0" applyNumberFormat="1" applyFont="1" applyBorder="1"/>
    <xf numFmtId="4" fontId="11" fillId="0" borderId="65" xfId="0" applyNumberFormat="1" applyFont="1" applyBorder="1"/>
    <xf numFmtId="0" fontId="11" fillId="0" borderId="66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4" fontId="11" fillId="0" borderId="28" xfId="0" applyNumberFormat="1" applyFont="1" applyBorder="1" applyAlignment="1">
      <alignment vertical="center"/>
    </xf>
    <xf numFmtId="4" fontId="11" fillId="0" borderId="67" xfId="0" applyNumberFormat="1" applyFont="1" applyBorder="1" applyAlignment="1">
      <alignment vertical="center"/>
    </xf>
    <xf numFmtId="0" fontId="11" fillId="0" borderId="68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4" fontId="11" fillId="0" borderId="27" xfId="0" applyNumberFormat="1" applyFont="1" applyBorder="1" applyAlignment="1">
      <alignment vertical="center"/>
    </xf>
    <xf numFmtId="4" fontId="11" fillId="0" borderId="69" xfId="0" applyNumberFormat="1" applyFont="1" applyBorder="1" applyAlignment="1">
      <alignment vertical="center"/>
    </xf>
    <xf numFmtId="0" fontId="11" fillId="0" borderId="6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vertical="center" wrapText="1"/>
    </xf>
    <xf numFmtId="0" fontId="11" fillId="0" borderId="71" xfId="0" applyFont="1" applyBorder="1" applyAlignment="1">
      <alignment horizontal="center" vertical="center"/>
    </xf>
    <xf numFmtId="4" fontId="11" fillId="0" borderId="71" xfId="0" applyNumberFormat="1" applyFont="1" applyBorder="1" applyAlignment="1">
      <alignment vertical="center"/>
    </xf>
    <xf numFmtId="4" fontId="11" fillId="0" borderId="72" xfId="0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horizontal="left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vertical="center"/>
    </xf>
    <xf numFmtId="0" fontId="13" fillId="4" borderId="9" xfId="0" applyFont="1" applyFill="1" applyBorder="1"/>
    <xf numFmtId="4" fontId="11" fillId="4" borderId="10" xfId="0" applyNumberFormat="1" applyFont="1" applyFill="1" applyBorder="1"/>
    <xf numFmtId="0" fontId="13" fillId="2" borderId="44" xfId="0" applyFont="1" applyFill="1" applyBorder="1"/>
    <xf numFmtId="0" fontId="13" fillId="2" borderId="27" xfId="0" applyFont="1" applyFill="1" applyBorder="1"/>
    <xf numFmtId="0" fontId="14" fillId="2" borderId="27" xfId="0" applyFont="1" applyFill="1" applyBorder="1"/>
    <xf numFmtId="0" fontId="11" fillId="2" borderId="45" xfId="0" applyFont="1" applyFill="1" applyBorder="1"/>
    <xf numFmtId="0" fontId="13" fillId="0" borderId="4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 wrapText="1"/>
    </xf>
    <xf numFmtId="4" fontId="11" fillId="0" borderId="45" xfId="0" applyNumberFormat="1" applyFont="1" applyBorder="1"/>
    <xf numFmtId="4" fontId="13" fillId="0" borderId="45" xfId="0" applyNumberFormat="1" applyFont="1" applyBorder="1" applyAlignment="1">
      <alignment horizontal="center" vertical="center" wrapText="1"/>
    </xf>
    <xf numFmtId="0" fontId="11" fillId="4" borderId="44" xfId="0" applyFont="1" applyFill="1" applyBorder="1"/>
    <xf numFmtId="0" fontId="11" fillId="4" borderId="27" xfId="0" applyFont="1" applyFill="1" applyBorder="1"/>
    <xf numFmtId="0" fontId="12" fillId="4" borderId="27" xfId="0" applyFont="1" applyFill="1" applyBorder="1"/>
    <xf numFmtId="0" fontId="14" fillId="4" borderId="27" xfId="0" applyFont="1" applyFill="1" applyBorder="1" applyAlignment="1">
      <alignment horizontal="center" vertical="center"/>
    </xf>
    <xf numFmtId="4" fontId="12" fillId="4" borderId="45" xfId="0" applyNumberFormat="1" applyFont="1" applyFill="1" applyBorder="1"/>
    <xf numFmtId="0" fontId="11" fillId="0" borderId="44" xfId="0" applyFont="1" applyBorder="1"/>
    <xf numFmtId="0" fontId="11" fillId="0" borderId="27" xfId="0" applyFont="1" applyBorder="1"/>
    <xf numFmtId="0" fontId="11" fillId="0" borderId="45" xfId="0" applyFont="1" applyBorder="1"/>
    <xf numFmtId="0" fontId="16" fillId="0" borderId="44" xfId="0" applyFont="1" applyBorder="1" applyAlignment="1">
      <alignment horizontal="center" vertical="center"/>
    </xf>
    <xf numFmtId="0" fontId="11" fillId="0" borderId="11" xfId="0" applyFont="1" applyBorder="1"/>
    <xf numFmtId="0" fontId="11" fillId="0" borderId="12" xfId="0" applyFont="1" applyBorder="1"/>
    <xf numFmtId="4" fontId="11" fillId="0" borderId="13" xfId="0" applyNumberFormat="1" applyFont="1" applyBorder="1"/>
    <xf numFmtId="0" fontId="11" fillId="0" borderId="38" xfId="0" applyFont="1" applyBorder="1"/>
    <xf numFmtId="0" fontId="11" fillId="0" borderId="39" xfId="0" applyFont="1" applyBorder="1"/>
    <xf numFmtId="0" fontId="15" fillId="0" borderId="0" xfId="0" applyFont="1"/>
    <xf numFmtId="10" fontId="12" fillId="0" borderId="0" xfId="0" applyNumberFormat="1" applyFont="1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/>
    <xf numFmtId="4" fontId="14" fillId="4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right" vertical="center" wrapText="1"/>
    </xf>
    <xf numFmtId="0" fontId="14" fillId="3" borderId="0" xfId="0" applyFont="1" applyFill="1"/>
    <xf numFmtId="4" fontId="14" fillId="3" borderId="0" xfId="0" applyNumberFormat="1" applyFont="1" applyFill="1"/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right" vertical="center"/>
    </xf>
    <xf numFmtId="0" fontId="14" fillId="4" borderId="0" xfId="0" applyFont="1" applyFill="1"/>
    <xf numFmtId="165" fontId="14" fillId="4" borderId="0" xfId="0" applyNumberFormat="1" applyFont="1" applyFill="1" applyAlignment="1">
      <alignment vertical="center"/>
    </xf>
    <xf numFmtId="165" fontId="11" fillId="0" borderId="0" xfId="0" applyNumberFormat="1" applyFont="1"/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4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right" vertical="center"/>
    </xf>
    <xf numFmtId="0" fontId="11" fillId="0" borderId="0" xfId="1" applyFont="1"/>
    <xf numFmtId="9" fontId="11" fillId="5" borderId="0" xfId="2" applyFont="1" applyFill="1" applyBorder="1"/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 wrapText="1"/>
    </xf>
    <xf numFmtId="0" fontId="11" fillId="0" borderId="15" xfId="1" applyFont="1" applyBorder="1" applyAlignment="1">
      <alignment horizontal="center"/>
    </xf>
    <xf numFmtId="2" fontId="11" fillId="0" borderId="15" xfId="1" applyNumberFormat="1" applyFont="1" applyBorder="1" applyAlignment="1">
      <alignment horizontal="center"/>
    </xf>
    <xf numFmtId="1" fontId="11" fillId="0" borderId="15" xfId="1" applyNumberFormat="1" applyFont="1" applyBorder="1" applyAlignment="1">
      <alignment horizontal="center"/>
    </xf>
    <xf numFmtId="2" fontId="11" fillId="0" borderId="16" xfId="1" applyNumberFormat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2" fontId="11" fillId="0" borderId="18" xfId="1" applyNumberFormat="1" applyFont="1" applyBorder="1" applyAlignment="1">
      <alignment horizontal="center"/>
    </xf>
    <xf numFmtId="1" fontId="11" fillId="0" borderId="18" xfId="1" applyNumberFormat="1" applyFont="1" applyBorder="1" applyAlignment="1">
      <alignment horizontal="center"/>
    </xf>
    <xf numFmtId="2" fontId="11" fillId="0" borderId="19" xfId="1" applyNumberFormat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2" fontId="11" fillId="0" borderId="21" xfId="1" applyNumberFormat="1" applyFont="1" applyBorder="1" applyAlignment="1">
      <alignment horizontal="center"/>
    </xf>
    <xf numFmtId="1" fontId="11" fillId="0" borderId="21" xfId="1" applyNumberFormat="1" applyFont="1" applyBorder="1" applyAlignment="1">
      <alignment horizontal="center"/>
    </xf>
    <xf numFmtId="2" fontId="11" fillId="0" borderId="22" xfId="1" applyNumberFormat="1" applyFont="1" applyBorder="1" applyAlignment="1">
      <alignment horizontal="center"/>
    </xf>
    <xf numFmtId="2" fontId="12" fillId="0" borderId="24" xfId="1" applyNumberFormat="1" applyFont="1" applyBorder="1" applyAlignment="1">
      <alignment horizontal="center" vertical="center"/>
    </xf>
    <xf numFmtId="2" fontId="11" fillId="0" borderId="24" xfId="1" applyNumberFormat="1" applyFont="1" applyBorder="1" applyAlignment="1">
      <alignment horizontal="center" vertical="center"/>
    </xf>
    <xf numFmtId="2" fontId="12" fillId="0" borderId="25" xfId="1" applyNumberFormat="1" applyFont="1" applyBorder="1" applyAlignment="1">
      <alignment horizontal="center" vertical="center"/>
    </xf>
    <xf numFmtId="0" fontId="12" fillId="0" borderId="38" xfId="1" applyFont="1" applyBorder="1"/>
    <xf numFmtId="0" fontId="11" fillId="0" borderId="0" xfId="1" applyFont="1" applyAlignment="1">
      <alignment horizontal="left"/>
    </xf>
    <xf numFmtId="0" fontId="11" fillId="0" borderId="39" xfId="1" applyFont="1" applyBorder="1"/>
    <xf numFmtId="0" fontId="12" fillId="0" borderId="38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11" fillId="0" borderId="39" xfId="1" applyFont="1" applyBorder="1" applyAlignment="1">
      <alignment vertical="center"/>
    </xf>
    <xf numFmtId="0" fontId="11" fillId="0" borderId="38" xfId="1" applyFont="1" applyBorder="1"/>
    <xf numFmtId="0" fontId="11" fillId="5" borderId="38" xfId="1" applyFont="1" applyFill="1" applyBorder="1"/>
    <xf numFmtId="0" fontId="11" fillId="5" borderId="0" xfId="1" applyFont="1" applyFill="1"/>
    <xf numFmtId="2" fontId="11" fillId="5" borderId="0" xfId="1" applyNumberFormat="1" applyFont="1" applyFill="1"/>
    <xf numFmtId="0" fontId="11" fillId="5" borderId="39" xfId="1" applyFont="1" applyFill="1" applyBorder="1"/>
    <xf numFmtId="0" fontId="20" fillId="0" borderId="38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11" fillId="0" borderId="48" xfId="1" applyFont="1" applyBorder="1"/>
    <xf numFmtId="0" fontId="11" fillId="0" borderId="49" xfId="1" applyFont="1" applyBorder="1"/>
    <xf numFmtId="2" fontId="11" fillId="0" borderId="49" xfId="1" applyNumberFormat="1" applyFont="1" applyBorder="1"/>
    <xf numFmtId="0" fontId="12" fillId="0" borderId="49" xfId="1" applyFont="1" applyBorder="1" applyAlignment="1">
      <alignment horizontal="center"/>
    </xf>
    <xf numFmtId="2" fontId="12" fillId="0" borderId="49" xfId="1" applyNumberFormat="1" applyFont="1" applyBorder="1" applyAlignment="1">
      <alignment horizontal="center"/>
    </xf>
    <xf numFmtId="0" fontId="12" fillId="0" borderId="50" xfId="1" applyFont="1" applyBorder="1" applyAlignment="1">
      <alignment horizontal="left"/>
    </xf>
    <xf numFmtId="0" fontId="11" fillId="0" borderId="35" xfId="0" applyFont="1" applyBorder="1"/>
    <xf numFmtId="0" fontId="11" fillId="0" borderId="36" xfId="0" applyFont="1" applyBorder="1"/>
    <xf numFmtId="0" fontId="11" fillId="0" borderId="37" xfId="0" applyFont="1" applyBorder="1"/>
    <xf numFmtId="0" fontId="12" fillId="0" borderId="38" xfId="0" applyFont="1" applyBorder="1"/>
    <xf numFmtId="0" fontId="11" fillId="0" borderId="38" xfId="0" applyFont="1" applyBorder="1" applyAlignment="1">
      <alignment horizontal="center" vertical="center"/>
    </xf>
    <xf numFmtId="10" fontId="11" fillId="0" borderId="39" xfId="0" applyNumberFormat="1" applyFont="1" applyBorder="1"/>
    <xf numFmtId="0" fontId="12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10" fontId="12" fillId="0" borderId="39" xfId="0" applyNumberFormat="1" applyFont="1" applyBorder="1"/>
    <xf numFmtId="0" fontId="12" fillId="0" borderId="39" xfId="0" applyFont="1" applyBorder="1"/>
    <xf numFmtId="0" fontId="17" fillId="6" borderId="47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2" fillId="0" borderId="47" xfId="0" applyFont="1" applyBorder="1"/>
    <xf numFmtId="10" fontId="12" fillId="0" borderId="47" xfId="0" applyNumberFormat="1" applyFont="1" applyBorder="1"/>
    <xf numFmtId="167" fontId="0" fillId="0" borderId="0" xfId="0" applyNumberFormat="1"/>
    <xf numFmtId="168" fontId="0" fillId="0" borderId="0" xfId="0" applyNumberFormat="1"/>
    <xf numFmtId="0" fontId="0" fillId="0" borderId="27" xfId="0" applyBorder="1" applyAlignment="1">
      <alignment horizontal="left" vertical="center" wrapText="1"/>
    </xf>
    <xf numFmtId="0" fontId="0" fillId="0" borderId="27" xfId="7" applyNumberFormat="1" applyFont="1" applyBorder="1" applyAlignment="1">
      <alignment vertical="center"/>
    </xf>
    <xf numFmtId="0" fontId="0" fillId="0" borderId="27" xfId="7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4" fontId="0" fillId="0" borderId="27" xfId="7" applyFont="1" applyBorder="1" applyAlignment="1">
      <alignment vertical="center"/>
    </xf>
    <xf numFmtId="169" fontId="0" fillId="0" borderId="27" xfId="0" applyNumberFormat="1" applyBorder="1" applyAlignment="1">
      <alignment vertical="center"/>
    </xf>
    <xf numFmtId="0" fontId="0" fillId="0" borderId="27" xfId="0" applyBorder="1" applyAlignment="1">
      <alignment wrapText="1"/>
    </xf>
    <xf numFmtId="49" fontId="0" fillId="0" borderId="27" xfId="7" applyNumberFormat="1" applyFont="1" applyBorder="1" applyAlignment="1">
      <alignment horizontal="center" vertical="center"/>
    </xf>
    <xf numFmtId="170" fontId="0" fillId="0" borderId="27" xfId="0" applyNumberFormat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4" fontId="21" fillId="0" borderId="0" xfId="0" applyNumberFormat="1" applyFont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2" xfId="0" applyFont="1" applyBorder="1"/>
    <xf numFmtId="4" fontId="12" fillId="0" borderId="84" xfId="0" applyNumberFormat="1" applyFont="1" applyBorder="1"/>
    <xf numFmtId="44" fontId="0" fillId="0" borderId="0" xfId="0" applyNumberFormat="1"/>
    <xf numFmtId="165" fontId="12" fillId="4" borderId="0" xfId="0" applyNumberFormat="1" applyFont="1" applyFill="1" applyAlignment="1">
      <alignment vertical="center"/>
    </xf>
    <xf numFmtId="0" fontId="0" fillId="7" borderId="0" xfId="0" applyFill="1"/>
    <xf numFmtId="4" fontId="12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44" fontId="11" fillId="0" borderId="0" xfId="0" applyNumberFormat="1" applyFont="1"/>
    <xf numFmtId="2" fontId="14" fillId="4" borderId="0" xfId="0" applyNumberFormat="1" applyFont="1" applyFill="1" applyAlignment="1">
      <alignment horizontal="center" vertical="center"/>
    </xf>
    <xf numFmtId="171" fontId="13" fillId="0" borderId="0" xfId="0" applyNumberFormat="1" applyFont="1" applyAlignment="1">
      <alignment horizontal="center" vertical="center"/>
    </xf>
    <xf numFmtId="2" fontId="0" fillId="0" borderId="0" xfId="0" applyNumberFormat="1"/>
    <xf numFmtId="173" fontId="11" fillId="0" borderId="0" xfId="0" applyNumberFormat="1" applyFont="1" applyAlignment="1">
      <alignment horizontal="center" vertical="center"/>
    </xf>
    <xf numFmtId="4" fontId="4" fillId="2" borderId="3" xfId="0" applyNumberFormat="1" applyFont="1" applyFill="1" applyBorder="1"/>
    <xf numFmtId="172" fontId="13" fillId="0" borderId="0" xfId="0" applyNumberFormat="1" applyFont="1" applyAlignment="1">
      <alignment horizontal="center" vertical="center"/>
    </xf>
    <xf numFmtId="0" fontId="0" fillId="0" borderId="27" xfId="0" applyBorder="1"/>
    <xf numFmtId="0" fontId="0" fillId="0" borderId="27" xfId="7" applyNumberFormat="1" applyFont="1" applyBorder="1"/>
    <xf numFmtId="49" fontId="0" fillId="0" borderId="27" xfId="7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27" xfId="7" applyFont="1" applyBorder="1"/>
    <xf numFmtId="2" fontId="0" fillId="0" borderId="27" xfId="0" applyNumberFormat="1" applyBorder="1"/>
    <xf numFmtId="0" fontId="0" fillId="0" borderId="27" xfId="7" applyNumberFormat="1" applyFont="1" applyFill="1" applyBorder="1"/>
    <xf numFmtId="0" fontId="0" fillId="0" borderId="27" xfId="7" applyNumberFormat="1" applyFont="1" applyBorder="1" applyAlignment="1">
      <alignment horizontal="center"/>
    </xf>
    <xf numFmtId="170" fontId="0" fillId="0" borderId="27" xfId="0" applyNumberFormat="1" applyBorder="1"/>
    <xf numFmtId="0" fontId="21" fillId="0" borderId="54" xfId="0" applyFont="1" applyBorder="1" applyAlignment="1">
      <alignment vertical="center" wrapText="1"/>
    </xf>
    <xf numFmtId="44" fontId="21" fillId="0" borderId="54" xfId="0" applyNumberFormat="1" applyFont="1" applyBorder="1" applyAlignment="1">
      <alignment vertical="center"/>
    </xf>
    <xf numFmtId="0" fontId="21" fillId="0" borderId="82" xfId="0" applyFont="1" applyBorder="1" applyAlignment="1">
      <alignment vertical="center"/>
    </xf>
    <xf numFmtId="44" fontId="21" fillId="0" borderId="82" xfId="0" applyNumberFormat="1" applyFont="1" applyBorder="1" applyAlignment="1">
      <alignment vertical="center"/>
    </xf>
    <xf numFmtId="174" fontId="13" fillId="0" borderId="0" xfId="0" applyNumberFormat="1" applyFont="1" applyAlignment="1">
      <alignment horizontal="center" vertical="center"/>
    </xf>
    <xf numFmtId="44" fontId="0" fillId="0" borderId="27" xfId="7" applyFont="1" applyFill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3" fillId="4" borderId="0" xfId="0" applyFont="1" applyFill="1" applyAlignment="1">
      <alignment horizontal="right" vertical="center"/>
    </xf>
    <xf numFmtId="174" fontId="13" fillId="0" borderId="0" xfId="0" applyNumberFormat="1" applyFont="1" applyAlignment="1">
      <alignment horizontal="right" vertical="center"/>
    </xf>
    <xf numFmtId="174" fontId="11" fillId="0" borderId="0" xfId="0" applyNumberFormat="1" applyFont="1"/>
    <xf numFmtId="174" fontId="14" fillId="0" borderId="0" xfId="0" applyNumberFormat="1" applyFont="1" applyAlignment="1">
      <alignment horizontal="right" vertical="center"/>
    </xf>
    <xf numFmtId="169" fontId="13" fillId="0" borderId="0" xfId="0" applyNumberFormat="1" applyFont="1" applyAlignment="1">
      <alignment horizontal="center" vertical="center" wrapText="1"/>
    </xf>
    <xf numFmtId="4" fontId="13" fillId="4" borderId="0" xfId="0" applyNumberFormat="1" applyFont="1" applyFill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/>
    </xf>
    <xf numFmtId="0" fontId="12" fillId="6" borderId="43" xfId="0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0" fillId="0" borderId="0" xfId="7" applyNumberFormat="1" applyFont="1" applyAlignment="1">
      <alignment horizontal="center"/>
    </xf>
    <xf numFmtId="0" fontId="13" fillId="0" borderId="27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0" fontId="12" fillId="4" borderId="47" xfId="0" applyFont="1" applyFill="1" applyBorder="1" applyAlignment="1">
      <alignment horizontal="center"/>
    </xf>
    <xf numFmtId="4" fontId="13" fillId="0" borderId="54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1" fillId="0" borderId="57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44" fontId="0" fillId="0" borderId="76" xfId="7" applyFont="1" applyBorder="1" applyAlignment="1">
      <alignment horizontal="center" vertical="center"/>
    </xf>
    <xf numFmtId="44" fontId="0" fillId="0" borderId="77" xfId="7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4" fontId="21" fillId="0" borderId="78" xfId="0" applyNumberFormat="1" applyFont="1" applyBorder="1" applyAlignment="1">
      <alignment horizontal="center" vertical="center"/>
    </xf>
    <xf numFmtId="44" fontId="21" fillId="0" borderId="79" xfId="0" applyNumberFormat="1" applyFont="1" applyBorder="1" applyAlignment="1">
      <alignment horizontal="center" vertical="center"/>
    </xf>
    <xf numFmtId="44" fontId="21" fillId="0" borderId="80" xfId="0" applyNumberFormat="1" applyFont="1" applyBorder="1" applyAlignment="1">
      <alignment horizontal="center" vertical="center"/>
    </xf>
    <xf numFmtId="44" fontId="21" fillId="0" borderId="81" xfId="0" applyNumberFormat="1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22" fillId="9" borderId="27" xfId="0" applyFont="1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8" borderId="76" xfId="0" applyFill="1" applyBorder="1" applyAlignment="1">
      <alignment horizontal="center" vertical="center"/>
    </xf>
    <xf numFmtId="0" fontId="0" fillId="8" borderId="77" xfId="0" applyFill="1" applyBorder="1" applyAlignment="1">
      <alignment horizontal="center" vertical="center"/>
    </xf>
    <xf numFmtId="44" fontId="21" fillId="0" borderId="27" xfId="0" applyNumberFormat="1" applyFont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lef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10" fontId="12" fillId="0" borderId="0" xfId="2" applyNumberFormat="1" applyFont="1" applyFill="1" applyBorder="1" applyAlignment="1">
      <alignment horizontal="left"/>
    </xf>
    <xf numFmtId="0" fontId="18" fillId="2" borderId="5" xfId="1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18" fillId="2" borderId="7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 wrapText="1"/>
    </xf>
    <xf numFmtId="0" fontId="12" fillId="6" borderId="6" xfId="1" applyFont="1" applyFill="1" applyBorder="1" applyAlignment="1">
      <alignment horizontal="center" wrapText="1"/>
    </xf>
    <xf numFmtId="0" fontId="12" fillId="6" borderId="7" xfId="1" applyFont="1" applyFill="1" applyBorder="1" applyAlignment="1">
      <alignment horizontal="center" wrapText="1"/>
    </xf>
    <xf numFmtId="0" fontId="7" fillId="0" borderId="35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7" fillId="0" borderId="37" xfId="1" applyFont="1" applyBorder="1" applyAlignment="1">
      <alignment horizontal="center"/>
    </xf>
    <xf numFmtId="0" fontId="7" fillId="0" borderId="38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39" xfId="1" applyFont="1" applyBorder="1" applyAlignment="1">
      <alignment horizontal="center"/>
    </xf>
    <xf numFmtId="0" fontId="7" fillId="0" borderId="48" xfId="1" applyFont="1" applyBorder="1" applyAlignment="1">
      <alignment horizontal="center"/>
    </xf>
    <xf numFmtId="0" fontId="7" fillId="0" borderId="49" xfId="1" applyFont="1" applyBorder="1" applyAlignment="1">
      <alignment horizontal="center"/>
    </xf>
    <xf numFmtId="0" fontId="7" fillId="0" borderId="50" xfId="1" applyFont="1" applyBorder="1" applyAlignment="1">
      <alignment horizont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 wrapText="1"/>
    </xf>
    <xf numFmtId="0" fontId="17" fillId="2" borderId="30" xfId="1" applyFont="1" applyFill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/>
    </xf>
  </cellXfs>
  <cellStyles count="8">
    <cellStyle name="Moeda" xfId="7" builtinId="4"/>
    <cellStyle name="Normal" xfId="0" builtinId="0"/>
    <cellStyle name="Normal 2" xfId="1"/>
    <cellStyle name="Normal 2 3" xfId="3"/>
    <cellStyle name="Normal 3" xfId="4"/>
    <cellStyle name="Normal 5" xfId="5"/>
    <cellStyle name="Porcentagem 2" xfId="2"/>
    <cellStyle name="Porcentagem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30480</xdr:rowOff>
    </xdr:from>
    <xdr:to>
      <xdr:col>3</xdr:col>
      <xdr:colOff>1188720</xdr:colOff>
      <xdr:row>7</xdr:row>
      <xdr:rowOff>182879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" y="228600"/>
          <a:ext cx="8877300" cy="1341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20782</xdr:colOff>
      <xdr:row>4</xdr:row>
      <xdr:rowOff>41564</xdr:rowOff>
    </xdr:from>
    <xdr:to>
      <xdr:col>8</xdr:col>
      <xdr:colOff>928255</xdr:colOff>
      <xdr:row>10</xdr:row>
      <xdr:rowOff>177338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982" y="852055"/>
          <a:ext cx="10287000" cy="1341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38100</xdr:rowOff>
    </xdr:from>
    <xdr:to>
      <xdr:col>11</xdr:col>
      <xdr:colOff>756282</xdr:colOff>
      <xdr:row>9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241300"/>
          <a:ext cx="14287500" cy="177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19050</xdr:rowOff>
    </xdr:from>
    <xdr:to>
      <xdr:col>8</xdr:col>
      <xdr:colOff>811742</xdr:colOff>
      <xdr:row>8</xdr:row>
      <xdr:rowOff>173874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428625"/>
          <a:ext cx="11277600" cy="1354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47168</xdr:colOff>
      <xdr:row>3</xdr:row>
      <xdr:rowOff>21769</xdr:rowOff>
    </xdr:from>
    <xdr:to>
      <xdr:col>13</xdr:col>
      <xdr:colOff>625475</xdr:colOff>
      <xdr:row>11</xdr:row>
      <xdr:rowOff>152399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368" y="631369"/>
          <a:ext cx="17466132" cy="17562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26504</xdr:colOff>
      <xdr:row>1</xdr:row>
      <xdr:rowOff>33131</xdr:rowOff>
    </xdr:from>
    <xdr:to>
      <xdr:col>7</xdr:col>
      <xdr:colOff>808382</xdr:colOff>
      <xdr:row>7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017" y="238540"/>
          <a:ext cx="8673548" cy="13119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907677</xdr:colOff>
      <xdr:row>34</xdr:row>
      <xdr:rowOff>100853</xdr:rowOff>
    </xdr:from>
    <xdr:to>
      <xdr:col>21</xdr:col>
      <xdr:colOff>280467</xdr:colOff>
      <xdr:row>34</xdr:row>
      <xdr:rowOff>106296</xdr:rowOff>
    </xdr:to>
    <xdr:cxnSp macro="">
      <xdr:nvCxnSpPr>
        <xdr:cNvPr id="3" name="Conector de seta reta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0918452" y="6892178"/>
          <a:ext cx="277665" cy="54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69271</xdr:colOff>
      <xdr:row>1</xdr:row>
      <xdr:rowOff>69269</xdr:rowOff>
    </xdr:from>
    <xdr:to>
      <xdr:col>22</xdr:col>
      <xdr:colOff>1288473</xdr:colOff>
      <xdr:row>5</xdr:row>
      <xdr:rowOff>1274618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71" y="277087"/>
          <a:ext cx="18107893" cy="19812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27663</xdr:colOff>
      <xdr:row>3</xdr:row>
      <xdr:rowOff>17684</xdr:rowOff>
    </xdr:from>
    <xdr:to>
      <xdr:col>3</xdr:col>
      <xdr:colOff>889000</xdr:colOff>
      <xdr:row>9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63" y="627284"/>
          <a:ext cx="7198637" cy="13920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32658</xdr:colOff>
      <xdr:row>1</xdr:row>
      <xdr:rowOff>32658</xdr:rowOff>
    </xdr:from>
    <xdr:to>
      <xdr:col>13</xdr:col>
      <xdr:colOff>783771</xdr:colOff>
      <xdr:row>8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8" y="239487"/>
          <a:ext cx="10809513" cy="1491342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9</xdr:row>
      <xdr:rowOff>14177</xdr:rowOff>
    </xdr:from>
    <xdr:to>
      <xdr:col>14</xdr:col>
      <xdr:colOff>0</xdr:colOff>
      <xdr:row>80</xdr:row>
      <xdr:rowOff>385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ED9C90C-9DD0-DE90-8B03-3578F7FD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6" y="1871552"/>
          <a:ext cx="10906124" cy="14638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VSM1/SharedDocs/edgar/IMPORTANTE/LICIT/NOLASCO/NOLASC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dgar/IMPORTANTE/LICIT/NOLASCO/NOLASC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.132.27/P&#250;blica/Documents%20and%20Settings/tarcisio.junior/Meus%20documentos/Tarc&#237;sio%20Jr/Processos%20em%20an&#225;lise/2009/Gilbu&#233;s%20706898-2009%20Estrada_Vicinal/An&#225;lise%20de%20Custos%20-%20Gilbu&#233;s%2016_11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GERAL (2)"/>
      <sheetName val="cronograma"/>
      <sheetName val="Plan1"/>
      <sheetName val="ORC"/>
      <sheetName val="incendio"/>
      <sheetName val="lógica"/>
      <sheetName val="elétrico"/>
      <sheetName val="SPCDAtm."/>
      <sheetName val="telefone"/>
      <sheetName val="a.pluvial"/>
      <sheetName val="sanitária"/>
      <sheetName val="agua"/>
      <sheetName val="ar cond."/>
      <sheetName val="BDI"/>
      <sheetName val="BDI (2)"/>
      <sheetName val="L.S.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 ATRIU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0"/>
  <sheetViews>
    <sheetView topLeftCell="B1" workbookViewId="0">
      <selection activeCell="F14" sqref="F14"/>
    </sheetView>
  </sheetViews>
  <sheetFormatPr defaultColWidth="11" defaultRowHeight="15.75" x14ac:dyDescent="0.25"/>
  <cols>
    <col min="3" max="3" width="90.875" customWidth="1"/>
    <col min="4" max="4" width="15.875" customWidth="1"/>
  </cols>
  <sheetData>
    <row r="1" spans="2:5" ht="36" customHeight="1" thickBot="1" x14ac:dyDescent="0.3">
      <c r="B1" s="30"/>
      <c r="C1" s="30"/>
      <c r="D1" s="30"/>
      <c r="E1" s="30"/>
    </row>
    <row r="2" spans="2:5" x14ac:dyDescent="0.25">
      <c r="B2" s="266"/>
      <c r="C2" s="267"/>
      <c r="D2" s="268"/>
      <c r="E2" s="30"/>
    </row>
    <row r="3" spans="2:5" x14ac:dyDescent="0.25">
      <c r="B3" s="269"/>
      <c r="C3" s="270"/>
      <c r="D3" s="271"/>
      <c r="E3" s="30"/>
    </row>
    <row r="4" spans="2:5" x14ac:dyDescent="0.25">
      <c r="B4" s="269"/>
      <c r="C4" s="270"/>
      <c r="D4" s="271"/>
      <c r="E4" s="30"/>
    </row>
    <row r="5" spans="2:5" x14ac:dyDescent="0.25">
      <c r="B5" s="269"/>
      <c r="C5" s="270"/>
      <c r="D5" s="271"/>
      <c r="E5" s="30"/>
    </row>
    <row r="6" spans="2:5" x14ac:dyDescent="0.25">
      <c r="B6" s="269"/>
      <c r="C6" s="270"/>
      <c r="D6" s="271"/>
      <c r="E6" s="30"/>
    </row>
    <row r="7" spans="2:5" x14ac:dyDescent="0.25">
      <c r="B7" s="269"/>
      <c r="C7" s="270"/>
      <c r="D7" s="271"/>
      <c r="E7" s="30"/>
    </row>
    <row r="8" spans="2:5" x14ac:dyDescent="0.25">
      <c r="B8" s="272"/>
      <c r="C8" s="273"/>
      <c r="D8" s="274"/>
      <c r="E8" s="30"/>
    </row>
    <row r="9" spans="2:5" x14ac:dyDescent="0.25">
      <c r="B9" s="263" t="s">
        <v>271</v>
      </c>
      <c r="C9" s="264"/>
      <c r="D9" s="265"/>
      <c r="E9" s="30"/>
    </row>
    <row r="10" spans="2:5" ht="30" customHeight="1" x14ac:dyDescent="0.25">
      <c r="B10" s="258" t="s">
        <v>247</v>
      </c>
      <c r="C10" s="259"/>
      <c r="D10" s="260"/>
      <c r="E10" s="30"/>
    </row>
    <row r="11" spans="2:5" ht="20.100000000000001" customHeight="1" x14ac:dyDescent="0.25">
      <c r="B11" s="32">
        <v>1</v>
      </c>
      <c r="C11" s="31" t="s">
        <v>8</v>
      </c>
      <c r="D11" s="33">
        <f>'ORÇAMENTO GERAL'!I23</f>
        <v>55893.2</v>
      </c>
      <c r="E11" s="30"/>
    </row>
    <row r="12" spans="2:5" ht="30" customHeight="1" x14ac:dyDescent="0.25">
      <c r="B12" s="258" t="s">
        <v>248</v>
      </c>
      <c r="C12" s="259"/>
      <c r="D12" s="260"/>
      <c r="E12" s="30"/>
    </row>
    <row r="13" spans="2:5" ht="20.100000000000001" customHeight="1" x14ac:dyDescent="0.25">
      <c r="B13" s="32">
        <v>2</v>
      </c>
      <c r="C13" s="31" t="s">
        <v>12</v>
      </c>
      <c r="D13" s="33">
        <f>'ORÇAMENTO GERAL'!I25</f>
        <v>126264.62</v>
      </c>
      <c r="E13" s="30"/>
    </row>
    <row r="14" spans="2:5" ht="20.100000000000001" customHeight="1" x14ac:dyDescent="0.25">
      <c r="B14" s="32">
        <v>3</v>
      </c>
      <c r="C14" s="31" t="s">
        <v>13</v>
      </c>
      <c r="D14" s="33">
        <f>'ORÇAMENTO GERAL'!I31</f>
        <v>701819</v>
      </c>
      <c r="E14" s="30"/>
    </row>
    <row r="15" spans="2:5" ht="20.100000000000001" customHeight="1" x14ac:dyDescent="0.25">
      <c r="B15" s="32">
        <v>4</v>
      </c>
      <c r="C15" s="31" t="s">
        <v>14</v>
      </c>
      <c r="D15" s="33">
        <f>'ORÇAMENTO GERAL'!I38</f>
        <v>980988.03</v>
      </c>
      <c r="E15" s="30"/>
    </row>
    <row r="16" spans="2:5" ht="20.100000000000001" customHeight="1" x14ac:dyDescent="0.25">
      <c r="B16" s="32">
        <v>5</v>
      </c>
      <c r="C16" s="31" t="s">
        <v>15</v>
      </c>
      <c r="D16" s="33">
        <f>'ORÇAMENTO GERAL'!I45</f>
        <v>15600</v>
      </c>
      <c r="E16" s="30"/>
    </row>
    <row r="17" spans="2:5" ht="20.100000000000001" customHeight="1" x14ac:dyDescent="0.25">
      <c r="B17" s="221">
        <v>6</v>
      </c>
      <c r="C17" s="222" t="s">
        <v>285</v>
      </c>
      <c r="D17" s="223">
        <f>'ORÇAMENTO GERAL'!I48</f>
        <v>38435.15</v>
      </c>
      <c r="E17" s="30"/>
    </row>
    <row r="18" spans="2:5" ht="20.100000000000001" customHeight="1" thickBot="1" x14ac:dyDescent="0.3">
      <c r="B18" s="261" t="s">
        <v>249</v>
      </c>
      <c r="C18" s="262"/>
      <c r="D18" s="34">
        <f>D11+D13+D14+D15+D16+D17</f>
        <v>1919000</v>
      </c>
      <c r="E18" s="30"/>
    </row>
    <row r="19" spans="2:5" x14ac:dyDescent="0.25">
      <c r="B19" s="30"/>
      <c r="C19" s="30"/>
      <c r="D19" s="30"/>
      <c r="E19" s="30"/>
    </row>
    <row r="20" spans="2:5" x14ac:dyDescent="0.25">
      <c r="B20" s="30"/>
      <c r="C20" s="30"/>
      <c r="D20" s="30"/>
      <c r="E20" s="30"/>
    </row>
  </sheetData>
  <mergeCells count="5">
    <mergeCell ref="B10:D10"/>
    <mergeCell ref="B12:D12"/>
    <mergeCell ref="B18:C18"/>
    <mergeCell ref="B9:D9"/>
    <mergeCell ref="B2:D8"/>
  </mergeCells>
  <pageMargins left="0.51181102362204722" right="0.51181102362204722" top="0.78740157480314965" bottom="0.78740157480314965" header="0.31496062992125984" footer="0.31496062992125984"/>
  <pageSetup paperSize="9" scale="67" orientation="portrait" horizontalDpi="360" verticalDpi="36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62"/>
  <sheetViews>
    <sheetView view="pageBreakPreview" topLeftCell="A37" zoomScale="110" zoomScaleNormal="110" zoomScaleSheetLayoutView="110" workbookViewId="0">
      <selection activeCell="H33" sqref="H33"/>
    </sheetView>
  </sheetViews>
  <sheetFormatPr defaultColWidth="11" defaultRowHeight="15.75" x14ac:dyDescent="0.25"/>
  <cols>
    <col min="3" max="3" width="11.875" customWidth="1"/>
    <col min="4" max="4" width="50.875" customWidth="1"/>
    <col min="6" max="9" width="12.875" customWidth="1"/>
    <col min="12" max="12" width="25.125" bestFit="1" customWidth="1"/>
  </cols>
  <sheetData>
    <row r="4" spans="2:9" ht="16.5" thickBot="1" x14ac:dyDescent="0.3"/>
    <row r="5" spans="2:9" x14ac:dyDescent="0.25">
      <c r="B5" s="280"/>
      <c r="C5" s="281"/>
      <c r="D5" s="281"/>
      <c r="E5" s="281"/>
      <c r="F5" s="281"/>
      <c r="G5" s="281"/>
      <c r="H5" s="281"/>
      <c r="I5" s="282"/>
    </row>
    <row r="6" spans="2:9" x14ac:dyDescent="0.25">
      <c r="B6" s="283"/>
      <c r="C6" s="284"/>
      <c r="D6" s="284"/>
      <c r="E6" s="284"/>
      <c r="F6" s="284"/>
      <c r="G6" s="284"/>
      <c r="H6" s="284"/>
      <c r="I6" s="285"/>
    </row>
    <row r="7" spans="2:9" x14ac:dyDescent="0.25">
      <c r="B7" s="283"/>
      <c r="C7" s="284"/>
      <c r="D7" s="284"/>
      <c r="E7" s="284"/>
      <c r="F7" s="284"/>
      <c r="G7" s="284"/>
      <c r="H7" s="284"/>
      <c r="I7" s="285"/>
    </row>
    <row r="8" spans="2:9" x14ac:dyDescent="0.25">
      <c r="B8" s="283"/>
      <c r="C8" s="284"/>
      <c r="D8" s="284"/>
      <c r="E8" s="284"/>
      <c r="F8" s="284"/>
      <c r="G8" s="284"/>
      <c r="H8" s="284"/>
      <c r="I8" s="285"/>
    </row>
    <row r="9" spans="2:9" x14ac:dyDescent="0.25">
      <c r="B9" s="283"/>
      <c r="C9" s="284"/>
      <c r="D9" s="284"/>
      <c r="E9" s="284"/>
      <c r="F9" s="284"/>
      <c r="G9" s="284"/>
      <c r="H9" s="284"/>
      <c r="I9" s="285"/>
    </row>
    <row r="10" spans="2:9" x14ac:dyDescent="0.25">
      <c r="B10" s="283"/>
      <c r="C10" s="284"/>
      <c r="D10" s="284"/>
      <c r="E10" s="284"/>
      <c r="F10" s="284"/>
      <c r="G10" s="284"/>
      <c r="H10" s="284"/>
      <c r="I10" s="285"/>
    </row>
    <row r="11" spans="2:9" ht="16.5" thickBot="1" x14ac:dyDescent="0.3">
      <c r="B11" s="286"/>
      <c r="C11" s="287"/>
      <c r="D11" s="287"/>
      <c r="E11" s="287"/>
      <c r="F11" s="287"/>
      <c r="G11" s="287"/>
      <c r="H11" s="287"/>
      <c r="I11" s="288"/>
    </row>
    <row r="12" spans="2:9" x14ac:dyDescent="0.25">
      <c r="B12" s="35" t="s">
        <v>51</v>
      </c>
      <c r="I12" s="36"/>
    </row>
    <row r="13" spans="2:9" x14ac:dyDescent="0.25">
      <c r="B13" s="35" t="s">
        <v>53</v>
      </c>
      <c r="I13" s="36"/>
    </row>
    <row r="14" spans="2:9" x14ac:dyDescent="0.25">
      <c r="B14" s="35" t="s">
        <v>52</v>
      </c>
      <c r="I14" s="36"/>
    </row>
    <row r="15" spans="2:9" x14ac:dyDescent="0.25">
      <c r="B15" s="35" t="s">
        <v>268</v>
      </c>
      <c r="E15" s="37"/>
      <c r="I15" s="36"/>
    </row>
    <row r="16" spans="2:9" x14ac:dyDescent="0.25">
      <c r="B16" s="35" t="s">
        <v>335</v>
      </c>
      <c r="E16" s="37"/>
      <c r="I16" s="36"/>
    </row>
    <row r="17" spans="2:9" x14ac:dyDescent="0.25">
      <c r="B17" s="35" t="s">
        <v>54</v>
      </c>
      <c r="C17" s="38">
        <v>0.24229999999999999</v>
      </c>
      <c r="I17" s="36"/>
    </row>
    <row r="18" spans="2:9" ht="16.5" thickBot="1" x14ac:dyDescent="0.3">
      <c r="B18" s="35" t="s">
        <v>269</v>
      </c>
      <c r="C18" s="39" t="s">
        <v>270</v>
      </c>
      <c r="I18" s="36"/>
    </row>
    <row r="19" spans="2:9" ht="16.5" thickBot="1" x14ac:dyDescent="0.3">
      <c r="B19" s="277" t="s">
        <v>272</v>
      </c>
      <c r="C19" s="278"/>
      <c r="D19" s="278"/>
      <c r="E19" s="278"/>
      <c r="F19" s="278"/>
      <c r="G19" s="278"/>
      <c r="H19" s="278"/>
      <c r="I19" s="279"/>
    </row>
    <row r="20" spans="2:9" ht="26.25" thickBot="1" x14ac:dyDescent="0.3">
      <c r="B20" s="4" t="s">
        <v>0</v>
      </c>
      <c r="C20" s="4" t="s">
        <v>6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4" t="s">
        <v>7</v>
      </c>
    </row>
    <row r="21" spans="2:9" ht="16.5" thickBot="1" x14ac:dyDescent="0.3">
      <c r="B21" s="5">
        <v>1</v>
      </c>
      <c r="C21" s="6"/>
      <c r="D21" s="6" t="s">
        <v>8</v>
      </c>
      <c r="E21" s="6"/>
      <c r="F21" s="6"/>
      <c r="G21" s="6"/>
      <c r="H21" s="6"/>
      <c r="I21" s="7"/>
    </row>
    <row r="22" spans="2:9" ht="26.25" thickBot="1" x14ac:dyDescent="0.3">
      <c r="B22" s="8" t="s">
        <v>9</v>
      </c>
      <c r="C22" s="9" t="s">
        <v>16</v>
      </c>
      <c r="D22" s="10" t="s">
        <v>10</v>
      </c>
      <c r="E22" s="8" t="s">
        <v>25</v>
      </c>
      <c r="F22" s="11">
        <v>1</v>
      </c>
      <c r="G22" s="11">
        <v>44991.71</v>
      </c>
      <c r="H22" s="11">
        <f>ROUND(G22*1.2423,2)</f>
        <v>55893.2</v>
      </c>
      <c r="I22" s="11">
        <v>55893.2</v>
      </c>
    </row>
    <row r="23" spans="2:9" ht="16.5" thickBot="1" x14ac:dyDescent="0.3">
      <c r="B23" s="12"/>
      <c r="C23" s="13"/>
      <c r="D23" s="13"/>
      <c r="E23" s="13"/>
      <c r="F23" s="14"/>
      <c r="G23" s="14" t="s">
        <v>11</v>
      </c>
      <c r="H23" s="14"/>
      <c r="I23" s="15">
        <f>I22</f>
        <v>55893.2</v>
      </c>
    </row>
    <row r="24" spans="2:9" ht="8.1" customHeight="1" thickBot="1" x14ac:dyDescent="0.3">
      <c r="B24" s="16"/>
      <c r="C24" s="2"/>
      <c r="D24" s="17"/>
      <c r="E24" s="17"/>
      <c r="F24" s="18"/>
      <c r="G24" s="18"/>
      <c r="H24" s="18"/>
      <c r="I24" s="18"/>
    </row>
    <row r="25" spans="2:9" ht="16.5" thickBot="1" x14ac:dyDescent="0.3">
      <c r="B25" s="5">
        <v>2</v>
      </c>
      <c r="C25" s="6"/>
      <c r="D25" s="6" t="s">
        <v>12</v>
      </c>
      <c r="E25" s="6"/>
      <c r="F25" s="6"/>
      <c r="G25" s="6"/>
      <c r="H25" s="6"/>
      <c r="I25" s="19">
        <f>I26+I27+I28+I29</f>
        <v>126264.62</v>
      </c>
    </row>
    <row r="26" spans="2:9" ht="26.25" thickBot="1" x14ac:dyDescent="0.3">
      <c r="B26" s="8" t="s">
        <v>17</v>
      </c>
      <c r="C26" s="9" t="s">
        <v>16</v>
      </c>
      <c r="D26" s="20" t="s">
        <v>18</v>
      </c>
      <c r="E26" s="8" t="s">
        <v>19</v>
      </c>
      <c r="F26" s="11">
        <f>'MEMÓRIA DE CÁLCULO'!O32</f>
        <v>6</v>
      </c>
      <c r="G26" s="11">
        <f>'CPMPOSIÇÃO DE PREÇOS UNITÁRIOS '!H19</f>
        <v>366.70000000000005</v>
      </c>
      <c r="H26" s="11">
        <f>ROUND(G26*(1+$C$17),2)</f>
        <v>455.55</v>
      </c>
      <c r="I26" s="11">
        <f>H26*F26</f>
        <v>2733.3</v>
      </c>
    </row>
    <row r="27" spans="2:9" ht="26.25" thickBot="1" x14ac:dyDescent="0.3">
      <c r="B27" s="8" t="s">
        <v>20</v>
      </c>
      <c r="C27" s="9" t="s">
        <v>16</v>
      </c>
      <c r="D27" s="20" t="s">
        <v>21</v>
      </c>
      <c r="E27" s="8" t="s">
        <v>22</v>
      </c>
      <c r="F27" s="11">
        <f>'MEMÓRIA DE CÁLCULO'!O33</f>
        <v>5</v>
      </c>
      <c r="G27" s="11">
        <f>'CPMPOSIÇÃO DE PREÇOS UNITÁRIOS '!H31</f>
        <v>15502.2</v>
      </c>
      <c r="H27" s="11">
        <f>ROUND(G27*(1+$C$17),2)</f>
        <v>19258.38</v>
      </c>
      <c r="I27" s="11">
        <f>ROUND(H27*F27,1)</f>
        <v>96291.9</v>
      </c>
    </row>
    <row r="28" spans="2:9" ht="26.25" thickBot="1" x14ac:dyDescent="0.3">
      <c r="B28" s="8" t="s">
        <v>23</v>
      </c>
      <c r="C28" s="9" t="s">
        <v>16</v>
      </c>
      <c r="D28" s="20" t="s">
        <v>24</v>
      </c>
      <c r="E28" s="8" t="s">
        <v>25</v>
      </c>
      <c r="F28" s="11">
        <f>'MEMÓRIA DE CÁLCULO'!O34</f>
        <v>1</v>
      </c>
      <c r="G28" s="11">
        <f>'CPMPOSIÇÃO DE PREÇOS UNITÁRIOS '!J37</f>
        <v>14850.92</v>
      </c>
      <c r="H28" s="11">
        <f>ROUND(G28*(1+$C$17),1)</f>
        <v>18449.3</v>
      </c>
      <c r="I28" s="11">
        <f>ROUND(H28*F28,1)</f>
        <v>18449.3</v>
      </c>
    </row>
    <row r="29" spans="2:9" ht="26.25" thickBot="1" x14ac:dyDescent="0.3">
      <c r="B29" s="8" t="s">
        <v>224</v>
      </c>
      <c r="C29" s="9" t="s">
        <v>16</v>
      </c>
      <c r="D29" s="20" t="s">
        <v>225</v>
      </c>
      <c r="E29" s="8" t="s">
        <v>30</v>
      </c>
      <c r="F29" s="11">
        <f>'MEMÓRIA DE CÁLCULO'!O35</f>
        <v>18</v>
      </c>
      <c r="G29" s="11">
        <f>ROUND(TRUNC('CPMPOSIÇÃO DE PREÇOS UNITÁRIOS '!H49,3),2)</f>
        <v>393.09</v>
      </c>
      <c r="H29" s="11">
        <f>ROUND(G29*(1+$C$17),2)</f>
        <v>488.34</v>
      </c>
      <c r="I29" s="11">
        <f>ROUND(H29*F29,2)</f>
        <v>8790.1200000000008</v>
      </c>
    </row>
    <row r="30" spans="2:9" ht="8.1" customHeight="1" thickBot="1" x14ac:dyDescent="0.3">
      <c r="B30" s="16"/>
      <c r="C30" s="2"/>
      <c r="D30" s="21"/>
      <c r="E30" s="16"/>
      <c r="F30" s="18"/>
      <c r="G30" s="18"/>
      <c r="H30" s="18"/>
      <c r="I30" s="18"/>
    </row>
    <row r="31" spans="2:9" ht="16.5" thickBot="1" x14ac:dyDescent="0.3">
      <c r="B31" s="5">
        <v>3</v>
      </c>
      <c r="C31" s="6"/>
      <c r="D31" s="6" t="s">
        <v>13</v>
      </c>
      <c r="E31" s="6"/>
      <c r="F31" s="6"/>
      <c r="G31" s="6"/>
      <c r="H31" s="6"/>
      <c r="I31" s="234">
        <f>SUM(I32:I36)</f>
        <v>701819</v>
      </c>
    </row>
    <row r="32" spans="2:9" ht="16.5" thickBot="1" x14ac:dyDescent="0.3">
      <c r="B32" s="8" t="s">
        <v>28</v>
      </c>
      <c r="C32" s="9">
        <v>5502135</v>
      </c>
      <c r="D32" s="20" t="s">
        <v>26</v>
      </c>
      <c r="E32" s="8" t="s">
        <v>27</v>
      </c>
      <c r="F32" s="11">
        <f>TRUNC('MEMÓRIA DE CÁLCULO'!O37,2)</f>
        <v>40191.980000000003</v>
      </c>
      <c r="G32" s="11">
        <v>5.29</v>
      </c>
      <c r="H32" s="11">
        <f t="shared" ref="H32:H50" si="0">ROUND(G32*(1+$C$17),2)</f>
        <v>6.57</v>
      </c>
      <c r="I32" s="11">
        <f>ROUND(H32*F32,2)</f>
        <v>264061.31</v>
      </c>
    </row>
    <row r="33" spans="2:12" ht="26.25" thickBot="1" x14ac:dyDescent="0.3">
      <c r="B33" s="8" t="s">
        <v>31</v>
      </c>
      <c r="C33" s="9">
        <v>5501700</v>
      </c>
      <c r="D33" s="20" t="s">
        <v>29</v>
      </c>
      <c r="E33" s="8" t="s">
        <v>30</v>
      </c>
      <c r="F33" s="11">
        <f>'MEMÓRIA DE CÁLCULO'!O38</f>
        <v>167466.59999999998</v>
      </c>
      <c r="G33" s="11">
        <v>0.54</v>
      </c>
      <c r="H33" s="11">
        <f t="shared" si="0"/>
        <v>0.67</v>
      </c>
      <c r="I33" s="11">
        <f t="shared" ref="I33:I50" si="1">ROUND(H33*F33,2)</f>
        <v>112202.62</v>
      </c>
    </row>
    <row r="34" spans="2:12" ht="16.5" thickBot="1" x14ac:dyDescent="0.3">
      <c r="B34" s="8" t="s">
        <v>32</v>
      </c>
      <c r="C34" s="9">
        <v>5501710</v>
      </c>
      <c r="D34" s="20" t="s">
        <v>35</v>
      </c>
      <c r="E34" s="8" t="s">
        <v>27</v>
      </c>
      <c r="F34" s="11">
        <f>'MEMÓRIA DE CÁLCULO'!O39</f>
        <v>33493.32</v>
      </c>
      <c r="G34" s="11">
        <v>2.88</v>
      </c>
      <c r="H34" s="11">
        <f t="shared" si="0"/>
        <v>3.58</v>
      </c>
      <c r="I34" s="11">
        <f t="shared" si="1"/>
        <v>119906.09</v>
      </c>
    </row>
    <row r="35" spans="2:12" ht="16.5" thickBot="1" x14ac:dyDescent="0.3">
      <c r="B35" s="8" t="s">
        <v>33</v>
      </c>
      <c r="C35" s="9">
        <v>4413986</v>
      </c>
      <c r="D35" s="20" t="s">
        <v>267</v>
      </c>
      <c r="E35" s="8" t="s">
        <v>30</v>
      </c>
      <c r="F35" s="11">
        <f>'MEMÓRIA DE CÁLCULO'!O40</f>
        <v>167466.59999999998</v>
      </c>
      <c r="G35" s="11">
        <v>0.06</v>
      </c>
      <c r="H35" s="11">
        <f t="shared" si="0"/>
        <v>7.0000000000000007E-2</v>
      </c>
      <c r="I35" s="11">
        <f t="shared" si="1"/>
        <v>11722.66</v>
      </c>
    </row>
    <row r="36" spans="2:12" ht="16.5" thickBot="1" x14ac:dyDescent="0.3">
      <c r="B36" s="8" t="s">
        <v>34</v>
      </c>
      <c r="C36" s="9">
        <v>5502978</v>
      </c>
      <c r="D36" s="20" t="s">
        <v>37</v>
      </c>
      <c r="E36" s="8" t="s">
        <v>27</v>
      </c>
      <c r="F36" s="11">
        <f>'MEMÓRIA DE CÁLCULO'!O41</f>
        <v>33493.32</v>
      </c>
      <c r="G36" s="11">
        <v>4.66</v>
      </c>
      <c r="H36" s="11">
        <f t="shared" si="0"/>
        <v>5.79</v>
      </c>
      <c r="I36" s="11">
        <f t="shared" si="1"/>
        <v>193926.32</v>
      </c>
    </row>
    <row r="37" spans="2:12" ht="8.1" customHeight="1" thickBot="1" x14ac:dyDescent="0.3">
      <c r="B37" s="16"/>
      <c r="C37" s="2"/>
      <c r="D37" s="21"/>
      <c r="E37" s="16"/>
      <c r="F37" s="18"/>
      <c r="G37" s="18"/>
      <c r="H37" s="18"/>
      <c r="I37" s="18"/>
    </row>
    <row r="38" spans="2:12" ht="16.5" thickBot="1" x14ac:dyDescent="0.3">
      <c r="B38" s="5">
        <v>4</v>
      </c>
      <c r="C38" s="6"/>
      <c r="D38" s="6" t="s">
        <v>14</v>
      </c>
      <c r="E38" s="6"/>
      <c r="F38" s="6"/>
      <c r="G38" s="6"/>
      <c r="H38" s="6"/>
      <c r="I38" s="19">
        <f>SUM(I39:I43)</f>
        <v>980988.03</v>
      </c>
    </row>
    <row r="39" spans="2:12" ht="16.5" thickBot="1" x14ac:dyDescent="0.3">
      <c r="B39" s="8" t="s">
        <v>43</v>
      </c>
      <c r="C39" s="9">
        <v>5502985</v>
      </c>
      <c r="D39" s="20" t="s">
        <v>38</v>
      </c>
      <c r="E39" s="8" t="s">
        <v>30</v>
      </c>
      <c r="F39" s="11">
        <f>'MEMÓRIA DE CÁLCULO'!O43</f>
        <v>40000</v>
      </c>
      <c r="G39" s="11">
        <v>0.45</v>
      </c>
      <c r="H39" s="11">
        <f t="shared" si="0"/>
        <v>0.56000000000000005</v>
      </c>
      <c r="I39" s="11">
        <f t="shared" si="1"/>
        <v>22400</v>
      </c>
    </row>
    <row r="40" spans="2:12" ht="16.5" thickBot="1" x14ac:dyDescent="0.3">
      <c r="B40" s="8" t="s">
        <v>44</v>
      </c>
      <c r="C40" s="9">
        <v>5502986</v>
      </c>
      <c r="D40" s="20" t="s">
        <v>39</v>
      </c>
      <c r="E40" s="8" t="s">
        <v>27</v>
      </c>
      <c r="F40" s="11">
        <f>'MEMÓRIA DE CÁLCULO'!O44</f>
        <v>8000</v>
      </c>
      <c r="G40" s="11">
        <v>2.52</v>
      </c>
      <c r="H40" s="11">
        <f t="shared" si="0"/>
        <v>3.13</v>
      </c>
      <c r="I40" s="11">
        <f t="shared" si="1"/>
        <v>25040</v>
      </c>
    </row>
    <row r="41" spans="2:12" ht="16.5" thickBot="1" x14ac:dyDescent="0.3">
      <c r="B41" s="8" t="s">
        <v>45</v>
      </c>
      <c r="C41" s="9">
        <v>4016008</v>
      </c>
      <c r="D41" s="20" t="s">
        <v>40</v>
      </c>
      <c r="E41" s="8" t="s">
        <v>27</v>
      </c>
      <c r="F41" s="11">
        <f>ROUND('MEMÓRIA DE CÁLCULO'!O45,2)</f>
        <v>40191.980000000003</v>
      </c>
      <c r="G41" s="11">
        <v>3.73</v>
      </c>
      <c r="H41" s="11">
        <f t="shared" si="0"/>
        <v>4.63</v>
      </c>
      <c r="I41" s="11">
        <f t="shared" si="1"/>
        <v>186088.87</v>
      </c>
    </row>
    <row r="42" spans="2:12" ht="26.25" thickBot="1" x14ac:dyDescent="0.3">
      <c r="B42" s="8" t="s">
        <v>46</v>
      </c>
      <c r="C42" s="9">
        <v>5914374</v>
      </c>
      <c r="D42" s="20" t="s">
        <v>41</v>
      </c>
      <c r="E42" s="8" t="s">
        <v>42</v>
      </c>
      <c r="F42" s="11">
        <f>ROUND('MEMÓRIA DE CÁLCULO'!O46,2)</f>
        <v>457465.16</v>
      </c>
      <c r="G42" s="11">
        <v>0.97</v>
      </c>
      <c r="H42" s="11">
        <f t="shared" si="0"/>
        <v>1.21</v>
      </c>
      <c r="I42" s="11">
        <f t="shared" si="1"/>
        <v>553532.84</v>
      </c>
    </row>
    <row r="43" spans="2:12" ht="16.5" thickBot="1" x14ac:dyDescent="0.3">
      <c r="B43" s="8" t="s">
        <v>47</v>
      </c>
      <c r="C43" s="9">
        <v>5502978</v>
      </c>
      <c r="D43" s="20" t="s">
        <v>37</v>
      </c>
      <c r="E43" s="8" t="s">
        <v>27</v>
      </c>
      <c r="F43" s="11">
        <f>'MEMÓRIA DE CÁLCULO'!O47</f>
        <v>33493.32</v>
      </c>
      <c r="G43" s="11">
        <v>4.66</v>
      </c>
      <c r="H43" s="11">
        <f t="shared" si="0"/>
        <v>5.79</v>
      </c>
      <c r="I43" s="11">
        <f t="shared" si="1"/>
        <v>193926.32</v>
      </c>
    </row>
    <row r="44" spans="2:12" ht="8.1" customHeight="1" thickBot="1" x14ac:dyDescent="0.3">
      <c r="B44" s="16"/>
      <c r="C44" s="2"/>
      <c r="D44" s="21"/>
      <c r="E44" s="16"/>
      <c r="F44" s="18"/>
      <c r="G44" s="18"/>
      <c r="H44" s="18"/>
      <c r="I44" s="18"/>
    </row>
    <row r="45" spans="2:12" ht="16.5" thickBot="1" x14ac:dyDescent="0.3">
      <c r="B45" s="5">
        <v>5</v>
      </c>
      <c r="C45" s="6"/>
      <c r="D45" s="6" t="s">
        <v>15</v>
      </c>
      <c r="E45" s="6"/>
      <c r="F45" s="6"/>
      <c r="G45" s="6"/>
      <c r="H45" s="6"/>
      <c r="I45" s="234">
        <f>SUM(I46)</f>
        <v>15600</v>
      </c>
      <c r="L45" s="206"/>
    </row>
    <row r="46" spans="2:12" ht="26.25" thickBot="1" x14ac:dyDescent="0.3">
      <c r="B46" s="8" t="s">
        <v>48</v>
      </c>
      <c r="C46" s="9" t="s">
        <v>16</v>
      </c>
      <c r="D46" s="20" t="s">
        <v>49</v>
      </c>
      <c r="E46" s="8" t="s">
        <v>30</v>
      </c>
      <c r="F46" s="11">
        <f>'MEMÓRIA DE CÁLCULO'!O49</f>
        <v>40000</v>
      </c>
      <c r="G46" s="11">
        <f>'CPMPOSIÇÃO DE PREÇOS UNITÁRIOS '!H208</f>
        <v>0.309999998</v>
      </c>
      <c r="H46" s="11">
        <f t="shared" si="0"/>
        <v>0.39</v>
      </c>
      <c r="I46" s="11">
        <f t="shared" si="1"/>
        <v>15600</v>
      </c>
      <c r="K46" s="3"/>
      <c r="L46" s="205"/>
    </row>
    <row r="47" spans="2:12" ht="8.1" customHeight="1" thickBot="1" x14ac:dyDescent="0.3">
      <c r="B47" s="16"/>
      <c r="C47" s="2"/>
      <c r="D47" s="21"/>
      <c r="E47" s="16"/>
      <c r="F47" s="18"/>
      <c r="G47" s="18"/>
      <c r="H47" s="18"/>
      <c r="I47" s="18"/>
      <c r="K47" s="3"/>
      <c r="L47" s="205"/>
    </row>
    <row r="48" spans="2:12" ht="16.5" thickBot="1" x14ac:dyDescent="0.3">
      <c r="B48" s="5">
        <v>6</v>
      </c>
      <c r="C48" s="6"/>
      <c r="D48" s="6" t="s">
        <v>285</v>
      </c>
      <c r="E48" s="6"/>
      <c r="F48" s="6"/>
      <c r="G48" s="6"/>
      <c r="H48" s="6"/>
      <c r="I48" s="234">
        <f>SUM(I49:I50)</f>
        <v>38435.15</v>
      </c>
      <c r="K48" s="3"/>
      <c r="L48" s="205"/>
    </row>
    <row r="49" spans="2:12" ht="26.25" thickBot="1" x14ac:dyDescent="0.3">
      <c r="B49" s="8" t="s">
        <v>291</v>
      </c>
      <c r="C49" s="9" t="s">
        <v>16</v>
      </c>
      <c r="D49" s="20" t="s">
        <v>312</v>
      </c>
      <c r="E49" s="8" t="s">
        <v>181</v>
      </c>
      <c r="F49" s="11">
        <f>'MEMÓRIA DE CÁLCULO'!O51</f>
        <v>27.91</v>
      </c>
      <c r="G49" s="11">
        <f>'CPMPOSIÇÃO DE PREÇOS UNITÁRIOS '!I221</f>
        <v>1066.8100000000002</v>
      </c>
      <c r="H49" s="11">
        <f t="shared" si="0"/>
        <v>1325.3</v>
      </c>
      <c r="I49" s="11">
        <f t="shared" si="1"/>
        <v>36989.120000000003</v>
      </c>
      <c r="K49" s="3"/>
      <c r="L49" s="205"/>
    </row>
    <row r="50" spans="2:12" ht="26.25" thickBot="1" x14ac:dyDescent="0.3">
      <c r="B50" s="8" t="s">
        <v>292</v>
      </c>
      <c r="C50" s="9" t="s">
        <v>16</v>
      </c>
      <c r="D50" s="20" t="s">
        <v>311</v>
      </c>
      <c r="E50" s="8" t="s">
        <v>334</v>
      </c>
      <c r="F50" s="11">
        <v>3</v>
      </c>
      <c r="G50" s="11">
        <f>'CPMPOSIÇÃO DE PREÇOS UNITÁRIOS '!I226</f>
        <v>388</v>
      </c>
      <c r="H50" s="11">
        <f t="shared" si="0"/>
        <v>482.01</v>
      </c>
      <c r="I50" s="11">
        <f t="shared" si="1"/>
        <v>1446.03</v>
      </c>
      <c r="K50" s="3"/>
      <c r="L50" s="205"/>
    </row>
    <row r="51" spans="2:12" ht="8.1" customHeight="1" thickBot="1" x14ac:dyDescent="0.3">
      <c r="B51" s="16"/>
      <c r="C51" s="2"/>
      <c r="D51" s="21"/>
      <c r="E51" s="16"/>
      <c r="F51" s="18"/>
      <c r="G51" s="18"/>
      <c r="H51" s="18"/>
      <c r="I51" s="18"/>
      <c r="K51" s="3"/>
      <c r="L51" s="205"/>
    </row>
    <row r="52" spans="2:12" ht="16.5" thickBot="1" x14ac:dyDescent="0.3">
      <c r="B52" s="12"/>
      <c r="C52" s="13"/>
      <c r="D52" s="13"/>
      <c r="E52" s="13"/>
      <c r="F52" s="14"/>
      <c r="G52" s="14" t="s">
        <v>50</v>
      </c>
      <c r="H52" s="14"/>
      <c r="I52" s="15">
        <f>I25+I31+I38+I45+I48</f>
        <v>1863106.7999999998</v>
      </c>
      <c r="K52" s="3"/>
      <c r="L52" s="3"/>
    </row>
    <row r="53" spans="2:12" ht="8.1" customHeight="1" thickBot="1" x14ac:dyDescent="0.3">
      <c r="B53" s="16"/>
      <c r="C53" s="22"/>
      <c r="D53" s="22"/>
      <c r="E53" s="22"/>
      <c r="F53" s="18"/>
      <c r="G53" s="18"/>
      <c r="H53" s="18"/>
      <c r="I53" s="18"/>
    </row>
    <row r="54" spans="2:12" ht="20.100000000000001" customHeight="1" thickBot="1" x14ac:dyDescent="0.3">
      <c r="B54" s="23"/>
      <c r="C54" s="24"/>
      <c r="D54" s="24"/>
      <c r="E54" s="25" t="s">
        <v>55</v>
      </c>
      <c r="F54" s="26"/>
      <c r="G54" s="27"/>
      <c r="H54" s="275">
        <f>I23+I52</f>
        <v>1918999.9999999998</v>
      </c>
      <c r="I54" s="276"/>
    </row>
    <row r="56" spans="2:12" x14ac:dyDescent="0.25">
      <c r="H56" s="289"/>
      <c r="I56" s="289"/>
    </row>
    <row r="57" spans="2:12" x14ac:dyDescent="0.25">
      <c r="I57" s="224"/>
    </row>
    <row r="58" spans="2:12" x14ac:dyDescent="0.25">
      <c r="F58" s="232"/>
    </row>
    <row r="59" spans="2:12" x14ac:dyDescent="0.25">
      <c r="F59" s="232"/>
    </row>
    <row r="60" spans="2:12" x14ac:dyDescent="0.25">
      <c r="F60" s="232"/>
    </row>
    <row r="61" spans="2:12" x14ac:dyDescent="0.25">
      <c r="F61" s="232"/>
    </row>
    <row r="62" spans="2:12" x14ac:dyDescent="0.25">
      <c r="F62" s="232"/>
    </row>
  </sheetData>
  <mergeCells count="4">
    <mergeCell ref="H54:I54"/>
    <mergeCell ref="B19:I19"/>
    <mergeCell ref="B5:I11"/>
    <mergeCell ref="H56:I56"/>
  </mergeCells>
  <phoneticPr fontId="5" type="noConversion"/>
  <pageMargins left="0.51181102362204722" right="0.51181102362204722" top="0.78740157480314965" bottom="0.78740157480314965" header="0.31496062992125984" footer="0.31496062992125984"/>
  <pageSetup paperSize="9" scale="62" fitToHeight="0" orientation="portrait" horizontalDpi="360" verticalDpi="360" r:id="rId1"/>
  <headerFooter>
    <oddFooter>Página &amp;P de &amp;N</oddFooter>
  </headerFooter>
  <ignoredErrors>
    <ignoredError sqref="H2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4"/>
  <sheetViews>
    <sheetView tabSelected="1" topLeftCell="B277" zoomScaleNormal="100" zoomScaleSheetLayoutView="90" workbookViewId="0">
      <selection activeCell="J108" sqref="J108"/>
    </sheetView>
  </sheetViews>
  <sheetFormatPr defaultColWidth="11" defaultRowHeight="15.75" x14ac:dyDescent="0.25"/>
  <cols>
    <col min="1" max="1" width="7.375" customWidth="1"/>
    <col min="4" max="4" width="40.875" customWidth="1"/>
    <col min="5" max="5" width="12.875" customWidth="1"/>
    <col min="6" max="6" width="20.875" customWidth="1"/>
    <col min="7" max="8" width="12.875" customWidth="1"/>
    <col min="9" max="9" width="19.25" customWidth="1"/>
    <col min="10" max="10" width="15.375" customWidth="1"/>
    <col min="11" max="11" width="21.125" customWidth="1"/>
    <col min="12" max="12" width="14.625" customWidth="1"/>
    <col min="14" max="14" width="12.625" bestFit="1" customWidth="1"/>
  </cols>
  <sheetData>
    <row r="1" spans="1:13" ht="16.5" thickBot="1" x14ac:dyDescent="0.3"/>
    <row r="2" spans="1:13" x14ac:dyDescent="0.25">
      <c r="A2" s="30"/>
      <c r="B2" s="266"/>
      <c r="C2" s="267"/>
      <c r="D2" s="267"/>
      <c r="E2" s="267"/>
      <c r="F2" s="267"/>
      <c r="G2" s="267"/>
      <c r="H2" s="267"/>
      <c r="I2" s="267"/>
      <c r="J2" s="267"/>
      <c r="K2" s="268"/>
      <c r="L2" s="30"/>
      <c r="M2" s="30"/>
    </row>
    <row r="3" spans="1:13" x14ac:dyDescent="0.25">
      <c r="A3" s="30"/>
      <c r="B3" s="269"/>
      <c r="C3" s="270"/>
      <c r="D3" s="270"/>
      <c r="E3" s="270"/>
      <c r="F3" s="270"/>
      <c r="G3" s="270"/>
      <c r="H3" s="270"/>
      <c r="I3" s="270"/>
      <c r="J3" s="270"/>
      <c r="K3" s="271"/>
      <c r="L3" s="30"/>
      <c r="M3" s="30"/>
    </row>
    <row r="4" spans="1:13" x14ac:dyDescent="0.25">
      <c r="A4" s="30"/>
      <c r="B4" s="269"/>
      <c r="C4" s="270"/>
      <c r="D4" s="270"/>
      <c r="E4" s="270"/>
      <c r="F4" s="270"/>
      <c r="G4" s="270"/>
      <c r="H4" s="270"/>
      <c r="I4" s="270"/>
      <c r="J4" s="270"/>
      <c r="K4" s="271"/>
      <c r="L4" s="30"/>
      <c r="M4" s="30"/>
    </row>
    <row r="5" spans="1:13" x14ac:dyDescent="0.25">
      <c r="A5" s="30"/>
      <c r="B5" s="269"/>
      <c r="C5" s="270"/>
      <c r="D5" s="270"/>
      <c r="E5" s="270"/>
      <c r="F5" s="270"/>
      <c r="G5" s="270"/>
      <c r="H5" s="270"/>
      <c r="I5" s="270"/>
      <c r="J5" s="270"/>
      <c r="K5" s="271"/>
      <c r="L5" s="30"/>
      <c r="M5" s="30"/>
    </row>
    <row r="6" spans="1:13" x14ac:dyDescent="0.25">
      <c r="A6" s="30"/>
      <c r="B6" s="269"/>
      <c r="C6" s="270"/>
      <c r="D6" s="270"/>
      <c r="E6" s="270"/>
      <c r="F6" s="270"/>
      <c r="G6" s="270"/>
      <c r="H6" s="270"/>
      <c r="I6" s="270"/>
      <c r="J6" s="270"/>
      <c r="K6" s="271"/>
      <c r="L6" s="30"/>
      <c r="M6" s="30"/>
    </row>
    <row r="7" spans="1:13" x14ac:dyDescent="0.25">
      <c r="A7" s="30"/>
      <c r="B7" s="269"/>
      <c r="C7" s="270"/>
      <c r="D7" s="270"/>
      <c r="E7" s="270"/>
      <c r="F7" s="270"/>
      <c r="G7" s="270"/>
      <c r="H7" s="270"/>
      <c r="I7" s="270"/>
      <c r="J7" s="270"/>
      <c r="K7" s="271"/>
      <c r="L7" s="30"/>
      <c r="M7" s="30"/>
    </row>
    <row r="8" spans="1:13" x14ac:dyDescent="0.25">
      <c r="A8" s="30"/>
      <c r="B8" s="269"/>
      <c r="C8" s="270"/>
      <c r="D8" s="270"/>
      <c r="E8" s="270"/>
      <c r="F8" s="270"/>
      <c r="G8" s="270"/>
      <c r="H8" s="270"/>
      <c r="I8" s="270"/>
      <c r="J8" s="270"/>
      <c r="K8" s="271"/>
      <c r="L8" s="30"/>
      <c r="M8" s="30"/>
    </row>
    <row r="9" spans="1:13" x14ac:dyDescent="0.25">
      <c r="A9" s="30"/>
      <c r="B9" s="269"/>
      <c r="C9" s="270"/>
      <c r="D9" s="270"/>
      <c r="E9" s="270"/>
      <c r="F9" s="270"/>
      <c r="G9" s="270"/>
      <c r="H9" s="270"/>
      <c r="I9" s="270"/>
      <c r="J9" s="270"/>
      <c r="K9" s="271"/>
      <c r="L9" s="30"/>
      <c r="M9" s="30"/>
    </row>
    <row r="10" spans="1:13" ht="16.5" thickBot="1" x14ac:dyDescent="0.3">
      <c r="A10" s="30"/>
      <c r="B10" s="320"/>
      <c r="C10" s="321"/>
      <c r="D10" s="321"/>
      <c r="E10" s="321"/>
      <c r="F10" s="321"/>
      <c r="G10" s="321"/>
      <c r="H10" s="321"/>
      <c r="I10" s="321"/>
      <c r="J10" s="321"/>
      <c r="K10" s="322"/>
      <c r="L10" s="30"/>
      <c r="M10" s="30"/>
    </row>
    <row r="11" spans="1:13" x14ac:dyDescent="0.25">
      <c r="A11" s="30"/>
      <c r="B11" s="30" t="s">
        <v>274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x14ac:dyDescent="0.25">
      <c r="A12" s="30"/>
      <c r="B12" s="30" t="s">
        <v>275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x14ac:dyDescent="0.25">
      <c r="A13" s="30"/>
      <c r="B13" s="30" t="s">
        <v>276</v>
      </c>
      <c r="C13" s="30"/>
      <c r="D13" s="30"/>
      <c r="E13" s="120"/>
      <c r="F13" s="30"/>
      <c r="G13" s="30"/>
      <c r="H13" s="30"/>
      <c r="I13" s="30"/>
      <c r="J13" s="30"/>
      <c r="K13" s="30"/>
      <c r="L13" s="30"/>
      <c r="M13" s="30"/>
    </row>
    <row r="14" spans="1:13" x14ac:dyDescent="0.25">
      <c r="A14" s="30"/>
      <c r="B14" s="30" t="s">
        <v>281</v>
      </c>
      <c r="C14" s="30"/>
      <c r="D14" s="30"/>
      <c r="E14" s="120"/>
      <c r="F14" s="30"/>
      <c r="G14" s="30"/>
      <c r="H14" s="30"/>
      <c r="I14" s="30"/>
      <c r="J14" s="30"/>
      <c r="K14" s="30"/>
      <c r="L14" s="30"/>
      <c r="M14" s="30"/>
    </row>
    <row r="15" spans="1:13" x14ac:dyDescent="0.25">
      <c r="A15" s="30"/>
      <c r="B15" s="30" t="s">
        <v>336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25">
      <c r="A16" s="30"/>
      <c r="B16" s="30" t="s">
        <v>54</v>
      </c>
      <c r="C16" s="121">
        <f>'COMPOSIÇÃO PROJETO EXECUTIVO'!$C$14</f>
        <v>0.24229999999999999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16.5" thickBot="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6.5" thickBot="1" x14ac:dyDescent="0.3">
      <c r="A18" s="30"/>
      <c r="B18" s="338" t="s">
        <v>282</v>
      </c>
      <c r="C18" s="339"/>
      <c r="D18" s="339"/>
      <c r="E18" s="339"/>
      <c r="F18" s="339"/>
      <c r="G18" s="339"/>
      <c r="H18" s="339"/>
      <c r="I18" s="30"/>
      <c r="J18" s="30"/>
      <c r="K18" s="30"/>
      <c r="L18" s="30"/>
      <c r="M18" s="30"/>
    </row>
    <row r="19" spans="1:13" ht="25.5" x14ac:dyDescent="0.25">
      <c r="A19" s="30"/>
      <c r="B19" s="122" t="s">
        <v>17</v>
      </c>
      <c r="C19" s="123" t="s">
        <v>16</v>
      </c>
      <c r="D19" s="124" t="s">
        <v>18</v>
      </c>
      <c r="E19" s="125"/>
      <c r="F19" s="125"/>
      <c r="G19" s="125"/>
      <c r="H19" s="126">
        <f>H23+H29</f>
        <v>366.70000000000005</v>
      </c>
      <c r="I19" s="30"/>
      <c r="J19" s="30"/>
      <c r="K19" s="30"/>
      <c r="L19" s="30"/>
      <c r="M19" s="30"/>
    </row>
    <row r="20" spans="1:13" ht="20.100000000000001" customHeight="1" x14ac:dyDescent="0.25">
      <c r="A20" s="30"/>
      <c r="B20" s="127"/>
      <c r="C20" s="127"/>
      <c r="D20" s="128" t="s">
        <v>81</v>
      </c>
      <c r="E20" s="127" t="s">
        <v>2</v>
      </c>
      <c r="F20" s="127" t="s">
        <v>3</v>
      </c>
      <c r="G20" s="129" t="s">
        <v>59</v>
      </c>
      <c r="H20" s="129" t="s">
        <v>63</v>
      </c>
      <c r="I20" s="30"/>
      <c r="J20" s="30"/>
      <c r="K20" s="30"/>
      <c r="L20" s="30"/>
      <c r="M20" s="30"/>
    </row>
    <row r="21" spans="1:13" x14ac:dyDescent="0.25">
      <c r="A21" s="30"/>
      <c r="B21" s="130" t="s">
        <v>82</v>
      </c>
      <c r="C21" s="130">
        <v>88262</v>
      </c>
      <c r="D21" s="131" t="s">
        <v>83</v>
      </c>
      <c r="E21" s="127" t="s">
        <v>58</v>
      </c>
      <c r="F21" s="132">
        <v>1</v>
      </c>
      <c r="G21" s="132">
        <v>24.2</v>
      </c>
      <c r="H21" s="133">
        <f>ROUND(F21*G21,2)</f>
        <v>24.2</v>
      </c>
      <c r="I21" s="30"/>
      <c r="J21" s="30"/>
      <c r="K21" s="30"/>
      <c r="L21" s="30"/>
      <c r="M21" s="30"/>
    </row>
    <row r="22" spans="1:13" x14ac:dyDescent="0.25">
      <c r="A22" s="30"/>
      <c r="B22" s="130" t="s">
        <v>82</v>
      </c>
      <c r="C22" s="130">
        <v>88316</v>
      </c>
      <c r="D22" s="131" t="s">
        <v>84</v>
      </c>
      <c r="E22" s="127" t="s">
        <v>58</v>
      </c>
      <c r="F22" s="132">
        <v>2</v>
      </c>
      <c r="G22" s="132">
        <v>19.170000000000002</v>
      </c>
      <c r="H22" s="133">
        <f>ROUND(F22*G22,2)</f>
        <v>38.340000000000003</v>
      </c>
      <c r="I22" s="30"/>
      <c r="J22" s="30"/>
      <c r="K22" s="30"/>
      <c r="L22" s="30"/>
      <c r="M22" s="30"/>
    </row>
    <row r="23" spans="1:13" x14ac:dyDescent="0.25">
      <c r="A23" s="30"/>
      <c r="B23" s="30"/>
      <c r="C23" s="30"/>
      <c r="D23" s="30"/>
      <c r="E23" s="30"/>
      <c r="F23" s="30"/>
      <c r="G23" s="134" t="s">
        <v>93</v>
      </c>
      <c r="H23" s="135">
        <f>H21+H22</f>
        <v>62.540000000000006</v>
      </c>
      <c r="I23" s="30"/>
      <c r="J23" s="30"/>
      <c r="K23" s="61"/>
      <c r="L23" s="30"/>
      <c r="M23" s="30"/>
    </row>
    <row r="24" spans="1:13" ht="20.100000000000001" customHeight="1" x14ac:dyDescent="0.25">
      <c r="A24" s="30"/>
      <c r="B24" s="30"/>
      <c r="C24" s="30"/>
      <c r="D24" s="128" t="s">
        <v>85</v>
      </c>
      <c r="E24" s="30"/>
      <c r="F24" s="30"/>
      <c r="G24" s="132"/>
      <c r="H24" s="30"/>
      <c r="I24" s="30"/>
      <c r="J24" s="30"/>
      <c r="K24" s="229"/>
      <c r="L24" s="30"/>
      <c r="M24" s="30"/>
    </row>
    <row r="25" spans="1:13" x14ac:dyDescent="0.25">
      <c r="A25" s="30"/>
      <c r="B25" s="130" t="s">
        <v>82</v>
      </c>
      <c r="C25" s="130">
        <v>4415</v>
      </c>
      <c r="D25" s="131" t="s">
        <v>86</v>
      </c>
      <c r="E25" s="127" t="s">
        <v>87</v>
      </c>
      <c r="F25" s="136">
        <v>1</v>
      </c>
      <c r="G25" s="132">
        <v>5.39</v>
      </c>
      <c r="H25" s="133">
        <f>ROUND(F25*G25,2)</f>
        <v>5.39</v>
      </c>
      <c r="I25" s="30"/>
      <c r="J25" s="30"/>
      <c r="K25" s="30"/>
      <c r="L25" s="30"/>
      <c r="M25" s="30"/>
    </row>
    <row r="26" spans="1:13" x14ac:dyDescent="0.25">
      <c r="A26" s="30"/>
      <c r="B26" s="130" t="s">
        <v>82</v>
      </c>
      <c r="C26" s="130">
        <v>4491</v>
      </c>
      <c r="D26" s="131" t="s">
        <v>88</v>
      </c>
      <c r="E26" s="127" t="s">
        <v>87</v>
      </c>
      <c r="F26" s="136">
        <v>4</v>
      </c>
      <c r="G26" s="132">
        <v>11.4</v>
      </c>
      <c r="H26" s="133">
        <f>ROUND(F26*G26,2)</f>
        <v>45.6</v>
      </c>
      <c r="I26" s="30"/>
      <c r="J26" s="30"/>
      <c r="K26" s="30"/>
      <c r="L26" s="30"/>
      <c r="M26" s="30"/>
    </row>
    <row r="27" spans="1:13" ht="25.5" x14ac:dyDescent="0.25">
      <c r="A27" s="30"/>
      <c r="B27" s="130" t="s">
        <v>82</v>
      </c>
      <c r="C27" s="130">
        <v>4813</v>
      </c>
      <c r="D27" s="137" t="s">
        <v>89</v>
      </c>
      <c r="E27" s="127" t="s">
        <v>90</v>
      </c>
      <c r="F27" s="136">
        <v>1</v>
      </c>
      <c r="G27" s="132">
        <v>250</v>
      </c>
      <c r="H27" s="133">
        <f>ROUND(F27*G27,2)</f>
        <v>250</v>
      </c>
      <c r="I27" s="30"/>
      <c r="J27" s="30"/>
      <c r="K27" s="30"/>
      <c r="L27" s="30"/>
      <c r="M27" s="30"/>
    </row>
    <row r="28" spans="1:13" ht="25.5" x14ac:dyDescent="0.25">
      <c r="A28" s="30"/>
      <c r="B28" s="130" t="s">
        <v>82</v>
      </c>
      <c r="C28" s="130">
        <v>5075</v>
      </c>
      <c r="D28" s="137" t="s">
        <v>91</v>
      </c>
      <c r="E28" s="127" t="s">
        <v>92</v>
      </c>
      <c r="F28" s="136">
        <v>0.15</v>
      </c>
      <c r="G28" s="132">
        <v>21.1</v>
      </c>
      <c r="H28" s="133">
        <f>ROUND(F28*G28,2)</f>
        <v>3.17</v>
      </c>
      <c r="I28" s="30"/>
      <c r="J28" s="30"/>
      <c r="K28" s="30"/>
      <c r="L28" s="30"/>
      <c r="M28" s="30"/>
    </row>
    <row r="29" spans="1:13" x14ac:dyDescent="0.25">
      <c r="A29" s="30"/>
      <c r="B29" s="30"/>
      <c r="C29" s="30"/>
      <c r="D29" s="30"/>
      <c r="E29" s="30"/>
      <c r="F29" s="30"/>
      <c r="G29" s="134" t="s">
        <v>93</v>
      </c>
      <c r="H29" s="135">
        <f>H25+H26+H27+H28</f>
        <v>304.16000000000003</v>
      </c>
      <c r="I29" s="30"/>
      <c r="J29" s="30"/>
      <c r="K29" s="30"/>
      <c r="L29" s="30"/>
      <c r="M29" s="30"/>
    </row>
    <row r="30" spans="1:13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25.5" x14ac:dyDescent="0.25">
      <c r="A31" s="30"/>
      <c r="B31" s="122" t="s">
        <v>20</v>
      </c>
      <c r="C31" s="123" t="s">
        <v>16</v>
      </c>
      <c r="D31" s="124" t="s">
        <v>21</v>
      </c>
      <c r="E31" s="125"/>
      <c r="F31" s="125"/>
      <c r="G31" s="125"/>
      <c r="H31" s="126">
        <f>TRUNC(H35,2)</f>
        <v>15502.2</v>
      </c>
      <c r="I31" s="61"/>
      <c r="J31" s="61"/>
      <c r="K31" s="3"/>
      <c r="L31" s="3"/>
      <c r="M31" s="30"/>
    </row>
    <row r="32" spans="1:13" ht="26.45" customHeight="1" x14ac:dyDescent="0.25">
      <c r="A32" s="30"/>
      <c r="B32" s="127"/>
      <c r="C32" s="127"/>
      <c r="D32" s="128" t="s">
        <v>81</v>
      </c>
      <c r="E32" s="127" t="s">
        <v>2</v>
      </c>
      <c r="F32" s="127" t="s">
        <v>3</v>
      </c>
      <c r="G32" s="129" t="s">
        <v>59</v>
      </c>
      <c r="H32" s="129" t="s">
        <v>63</v>
      </c>
      <c r="I32" s="30"/>
      <c r="J32" s="61"/>
      <c r="K32" s="30"/>
      <c r="L32" s="30"/>
      <c r="M32" s="30"/>
    </row>
    <row r="33" spans="1:14" x14ac:dyDescent="0.25">
      <c r="A33" s="30"/>
      <c r="B33" s="130" t="s">
        <v>82</v>
      </c>
      <c r="C33" s="130">
        <v>34780</v>
      </c>
      <c r="D33" s="138" t="s">
        <v>94</v>
      </c>
      <c r="E33" s="137" t="s">
        <v>58</v>
      </c>
      <c r="F33" s="132">
        <v>102.00545</v>
      </c>
      <c r="G33" s="249">
        <v>111.04</v>
      </c>
      <c r="H33" s="139">
        <f>G33*F33</f>
        <v>11326.685168</v>
      </c>
      <c r="I33" s="30"/>
      <c r="J33" s="30"/>
      <c r="K33" s="30"/>
      <c r="L33" s="30"/>
      <c r="M33" s="30"/>
    </row>
    <row r="34" spans="1:14" x14ac:dyDescent="0.25">
      <c r="A34" s="30"/>
      <c r="B34" s="130" t="s">
        <v>82</v>
      </c>
      <c r="C34" s="130">
        <v>4083</v>
      </c>
      <c r="D34" s="138" t="s">
        <v>95</v>
      </c>
      <c r="E34" s="137" t="s">
        <v>58</v>
      </c>
      <c r="F34" s="132">
        <v>173.98</v>
      </c>
      <c r="G34" s="132">
        <v>24</v>
      </c>
      <c r="H34" s="139">
        <f>G34*F34</f>
        <v>4175.5199999999995</v>
      </c>
      <c r="I34" s="30"/>
      <c r="J34" s="30"/>
      <c r="K34" s="30"/>
      <c r="L34" s="30"/>
      <c r="M34" s="30"/>
    </row>
    <row r="35" spans="1:14" x14ac:dyDescent="0.25">
      <c r="A35" s="30"/>
      <c r="B35" s="30"/>
      <c r="C35" s="30"/>
      <c r="D35" s="30"/>
      <c r="E35" s="30"/>
      <c r="F35" s="30"/>
      <c r="G35" s="134" t="s">
        <v>93</v>
      </c>
      <c r="H35" s="135">
        <f>H33+H34</f>
        <v>15502.205168</v>
      </c>
      <c r="I35" s="30"/>
      <c r="J35" s="30"/>
      <c r="K35" s="30"/>
      <c r="L35" s="30"/>
    </row>
    <row r="36" spans="1:14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142"/>
    </row>
    <row r="37" spans="1:14" ht="25.5" x14ac:dyDescent="0.25">
      <c r="A37" s="30"/>
      <c r="B37" s="122" t="s">
        <v>23</v>
      </c>
      <c r="C37" s="123" t="s">
        <v>16</v>
      </c>
      <c r="D37" s="124" t="s">
        <v>24</v>
      </c>
      <c r="E37" s="140"/>
      <c r="F37" s="125"/>
      <c r="G37" s="125"/>
      <c r="H37" s="126"/>
      <c r="I37" s="140"/>
      <c r="J37" s="225">
        <f>L39+L40+L41+L42+L43+L44+L45+L46</f>
        <v>14850.92</v>
      </c>
      <c r="K37" s="141"/>
      <c r="L37" s="141"/>
    </row>
    <row r="38" spans="1:14" ht="25.5" x14ac:dyDescent="0.25">
      <c r="A38" s="30"/>
      <c r="B38" s="143"/>
      <c r="C38" s="143"/>
      <c r="D38" s="144" t="s">
        <v>96</v>
      </c>
      <c r="E38" s="129" t="s">
        <v>97</v>
      </c>
      <c r="F38" s="129" t="s">
        <v>119</v>
      </c>
      <c r="G38" s="129" t="s">
        <v>3</v>
      </c>
      <c r="H38" s="129" t="s">
        <v>305</v>
      </c>
      <c r="I38" s="129" t="s">
        <v>98</v>
      </c>
      <c r="J38" s="129" t="s">
        <v>101</v>
      </c>
      <c r="K38" s="129" t="s">
        <v>99</v>
      </c>
      <c r="L38" s="129" t="s">
        <v>100</v>
      </c>
      <c r="M38" s="142"/>
      <c r="N38" s="30"/>
    </row>
    <row r="39" spans="1:14" ht="51" x14ac:dyDescent="0.25">
      <c r="A39" s="30"/>
      <c r="B39" s="127" t="s">
        <v>72</v>
      </c>
      <c r="C39" s="130" t="s">
        <v>102</v>
      </c>
      <c r="D39" s="137" t="s">
        <v>103</v>
      </c>
      <c r="E39" s="130" t="s">
        <v>118</v>
      </c>
      <c r="F39" s="137" t="s">
        <v>120</v>
      </c>
      <c r="G39" s="132">
        <v>1</v>
      </c>
      <c r="H39" s="132">
        <v>0.5</v>
      </c>
      <c r="I39" s="132">
        <f>ROUND(202.65205,2)</f>
        <v>202.65</v>
      </c>
      <c r="J39" s="132">
        <v>2</v>
      </c>
      <c r="K39" s="132">
        <v>390</v>
      </c>
      <c r="L39" s="233">
        <f>ROUND(((I39*J39*H39)/60)*K39,2)</f>
        <v>1317.23</v>
      </c>
      <c r="M39" s="30"/>
      <c r="N39" s="30"/>
    </row>
    <row r="40" spans="1:14" ht="51" x14ac:dyDescent="0.25">
      <c r="A40" s="30"/>
      <c r="B40" s="127" t="s">
        <v>72</v>
      </c>
      <c r="C40" s="130" t="s">
        <v>104</v>
      </c>
      <c r="D40" s="137" t="s">
        <v>105</v>
      </c>
      <c r="E40" s="130" t="s">
        <v>118</v>
      </c>
      <c r="F40" s="137" t="s">
        <v>120</v>
      </c>
      <c r="G40" s="132">
        <v>1</v>
      </c>
      <c r="H40" s="132">
        <v>0.5</v>
      </c>
      <c r="I40" s="132">
        <f>I39</f>
        <v>202.65</v>
      </c>
      <c r="J40" s="132">
        <v>2</v>
      </c>
      <c r="K40" s="132">
        <v>390</v>
      </c>
      <c r="L40" s="233">
        <f t="shared" ref="L40:L46" si="0">ROUND(((I40*J40*H40)/60)*K40,2)</f>
        <v>1317.23</v>
      </c>
      <c r="M40" s="30"/>
      <c r="N40" s="30"/>
    </row>
    <row r="41" spans="1:14" ht="51" x14ac:dyDescent="0.25">
      <c r="A41" s="30"/>
      <c r="B41" s="127" t="s">
        <v>72</v>
      </c>
      <c r="C41" s="130" t="s">
        <v>106</v>
      </c>
      <c r="D41" s="137" t="s">
        <v>107</v>
      </c>
      <c r="E41" s="130" t="s">
        <v>118</v>
      </c>
      <c r="F41" s="137" t="s">
        <v>120</v>
      </c>
      <c r="G41" s="132">
        <v>1</v>
      </c>
      <c r="H41" s="132">
        <v>1</v>
      </c>
      <c r="I41" s="132">
        <f>I39</f>
        <v>202.65</v>
      </c>
      <c r="J41" s="132">
        <v>2</v>
      </c>
      <c r="K41" s="132">
        <v>390</v>
      </c>
      <c r="L41" s="233">
        <f t="shared" si="0"/>
        <v>2634.45</v>
      </c>
      <c r="M41" s="30"/>
      <c r="N41" s="30"/>
    </row>
    <row r="42" spans="1:14" ht="51" x14ac:dyDescent="0.25">
      <c r="A42" s="30"/>
      <c r="B42" s="127" t="s">
        <v>72</v>
      </c>
      <c r="C42" s="130" t="s">
        <v>108</v>
      </c>
      <c r="D42" s="137" t="s">
        <v>109</v>
      </c>
      <c r="E42" s="130" t="s">
        <v>118</v>
      </c>
      <c r="F42" s="137" t="s">
        <v>120</v>
      </c>
      <c r="G42" s="132">
        <v>1</v>
      </c>
      <c r="H42" s="132">
        <v>0.5</v>
      </c>
      <c r="I42" s="132">
        <f>I39</f>
        <v>202.65</v>
      </c>
      <c r="J42" s="132">
        <v>2</v>
      </c>
      <c r="K42" s="132">
        <v>390</v>
      </c>
      <c r="L42" s="233">
        <f t="shared" si="0"/>
        <v>1317.23</v>
      </c>
      <c r="M42" s="30"/>
      <c r="N42" s="30"/>
    </row>
    <row r="43" spans="1:14" ht="51" x14ac:dyDescent="0.25">
      <c r="A43" s="30"/>
      <c r="B43" s="127" t="s">
        <v>72</v>
      </c>
      <c r="C43" s="130" t="s">
        <v>110</v>
      </c>
      <c r="D43" s="137" t="s">
        <v>111</v>
      </c>
      <c r="E43" s="130" t="s">
        <v>118</v>
      </c>
      <c r="F43" s="137" t="s">
        <v>120</v>
      </c>
      <c r="G43" s="132">
        <v>1</v>
      </c>
      <c r="H43" s="132">
        <v>0.5</v>
      </c>
      <c r="I43" s="132">
        <f>I39</f>
        <v>202.65</v>
      </c>
      <c r="J43" s="132">
        <v>2</v>
      </c>
      <c r="K43" s="132">
        <v>390</v>
      </c>
      <c r="L43" s="233">
        <f t="shared" si="0"/>
        <v>1317.23</v>
      </c>
      <c r="M43" s="30"/>
      <c r="N43" s="30"/>
    </row>
    <row r="44" spans="1:14" ht="51" x14ac:dyDescent="0.25">
      <c r="A44" s="30"/>
      <c r="B44" s="127" t="s">
        <v>72</v>
      </c>
      <c r="C44" s="130" t="s">
        <v>112</v>
      </c>
      <c r="D44" s="137" t="s">
        <v>113</v>
      </c>
      <c r="E44" s="130" t="s">
        <v>118</v>
      </c>
      <c r="F44" s="137" t="s">
        <v>120</v>
      </c>
      <c r="G44" s="132">
        <v>1</v>
      </c>
      <c r="H44" s="132">
        <v>1</v>
      </c>
      <c r="I44" s="132">
        <f>I39</f>
        <v>202.65</v>
      </c>
      <c r="J44" s="132">
        <v>2</v>
      </c>
      <c r="K44" s="132">
        <v>390</v>
      </c>
      <c r="L44" s="233">
        <f t="shared" si="0"/>
        <v>2634.45</v>
      </c>
      <c r="M44" s="30"/>
      <c r="N44" s="30"/>
    </row>
    <row r="45" spans="1:14" ht="25.5" x14ac:dyDescent="0.25">
      <c r="A45" s="30"/>
      <c r="B45" s="127" t="s">
        <v>72</v>
      </c>
      <c r="C45" s="130" t="s">
        <v>114</v>
      </c>
      <c r="D45" s="137" t="s">
        <v>115</v>
      </c>
      <c r="E45" s="132"/>
      <c r="F45" s="137" t="s">
        <v>304</v>
      </c>
      <c r="G45" s="132">
        <v>1</v>
      </c>
      <c r="H45" s="132">
        <v>1</v>
      </c>
      <c r="I45" s="132">
        <f>I39</f>
        <v>202.65</v>
      </c>
      <c r="J45" s="132">
        <v>2</v>
      </c>
      <c r="K45" s="235">
        <v>294.505</v>
      </c>
      <c r="L45" s="233">
        <f t="shared" si="0"/>
        <v>1989.38</v>
      </c>
      <c r="M45" s="30"/>
      <c r="N45" s="30"/>
    </row>
    <row r="46" spans="1:14" ht="25.5" x14ac:dyDescent="0.25">
      <c r="A46" s="30"/>
      <c r="B46" s="127" t="s">
        <v>72</v>
      </c>
      <c r="C46" s="130" t="s">
        <v>116</v>
      </c>
      <c r="D46" s="137" t="s">
        <v>117</v>
      </c>
      <c r="E46" s="132"/>
      <c r="F46" s="137" t="s">
        <v>304</v>
      </c>
      <c r="G46" s="132">
        <v>1</v>
      </c>
      <c r="H46" s="132">
        <v>1</v>
      </c>
      <c r="I46" s="132">
        <f>I39</f>
        <v>202.65</v>
      </c>
      <c r="J46" s="132">
        <v>2</v>
      </c>
      <c r="K46" s="132">
        <v>344</v>
      </c>
      <c r="L46" s="233">
        <f t="shared" si="0"/>
        <v>2323.7199999999998</v>
      </c>
      <c r="M46" s="30"/>
      <c r="N46" s="30"/>
    </row>
    <row r="47" spans="1:14" x14ac:dyDescent="0.25">
      <c r="A47" s="30"/>
      <c r="B47" s="127"/>
      <c r="C47" s="130"/>
      <c r="D47" s="137"/>
      <c r="E47" s="132"/>
      <c r="F47" s="30"/>
      <c r="G47" s="132"/>
      <c r="H47" s="132"/>
      <c r="I47" s="132"/>
      <c r="J47" s="132"/>
      <c r="K47" s="145"/>
      <c r="L47" s="145"/>
      <c r="M47" s="30"/>
    </row>
    <row r="48" spans="1:14" x14ac:dyDescent="0.25">
      <c r="A48" s="30"/>
      <c r="B48" s="127"/>
      <c r="C48" s="130"/>
      <c r="D48" s="137"/>
      <c r="E48" s="132"/>
      <c r="F48" s="30"/>
      <c r="G48" s="132"/>
      <c r="H48" s="132"/>
      <c r="I48" s="132"/>
      <c r="J48" s="132"/>
      <c r="K48" s="145"/>
      <c r="L48" s="30"/>
      <c r="M48" s="30"/>
    </row>
    <row r="49" spans="1:13" ht="25.5" x14ac:dyDescent="0.25">
      <c r="A49" s="30"/>
      <c r="B49" s="122" t="s">
        <v>224</v>
      </c>
      <c r="C49" s="123" t="s">
        <v>16</v>
      </c>
      <c r="D49" s="124" t="s">
        <v>225</v>
      </c>
      <c r="E49" s="125"/>
      <c r="F49" s="125"/>
      <c r="G49" s="125"/>
      <c r="H49" s="230">
        <f>TRUNC(H54+H68,3)</f>
        <v>393.08499999999998</v>
      </c>
      <c r="I49" s="132"/>
      <c r="J49" s="132"/>
      <c r="K49" s="145"/>
      <c r="L49" s="61"/>
      <c r="M49" s="30"/>
    </row>
    <row r="50" spans="1:13" ht="25.5" x14ac:dyDescent="0.25">
      <c r="A50" s="30"/>
      <c r="B50" s="127"/>
      <c r="C50" s="127"/>
      <c r="D50" s="128" t="s">
        <v>81</v>
      </c>
      <c r="E50" s="127" t="s">
        <v>2</v>
      </c>
      <c r="F50" s="127" t="s">
        <v>3</v>
      </c>
      <c r="G50" s="129" t="s">
        <v>59</v>
      </c>
      <c r="H50" s="129" t="s">
        <v>63</v>
      </c>
      <c r="I50" s="132"/>
      <c r="J50" s="132"/>
      <c r="K50" s="145"/>
      <c r="L50" s="229"/>
      <c r="M50" s="30"/>
    </row>
    <row r="51" spans="1:13" x14ac:dyDescent="0.25">
      <c r="A51" s="30"/>
      <c r="B51" s="127"/>
      <c r="C51" s="130">
        <v>1213</v>
      </c>
      <c r="D51" s="137" t="s">
        <v>226</v>
      </c>
      <c r="E51" s="132" t="s">
        <v>227</v>
      </c>
      <c r="F51" s="139">
        <v>1.5</v>
      </c>
      <c r="G51" s="139">
        <v>18.55</v>
      </c>
      <c r="H51" s="139">
        <f>ROUND(F51*G51,2)</f>
        <v>27.83</v>
      </c>
      <c r="I51" s="132"/>
      <c r="J51" s="132"/>
      <c r="K51" s="145"/>
      <c r="L51" s="30"/>
      <c r="M51" s="30"/>
    </row>
    <row r="52" spans="1:13" x14ac:dyDescent="0.25">
      <c r="A52" s="30"/>
      <c r="B52" s="127"/>
      <c r="C52" s="130">
        <v>4750</v>
      </c>
      <c r="D52" s="137" t="s">
        <v>228</v>
      </c>
      <c r="E52" s="132" t="s">
        <v>227</v>
      </c>
      <c r="F52" s="139">
        <v>0.31</v>
      </c>
      <c r="G52" s="139">
        <v>17.91</v>
      </c>
      <c r="H52" s="139">
        <f>ROUND(F52*G52,2)</f>
        <v>5.55</v>
      </c>
      <c r="I52" s="132"/>
      <c r="J52" s="132"/>
      <c r="K52" s="145"/>
      <c r="L52" s="30"/>
      <c r="M52" s="30"/>
    </row>
    <row r="53" spans="1:13" x14ac:dyDescent="0.25">
      <c r="A53" s="30"/>
      <c r="B53" s="127"/>
      <c r="C53" s="130">
        <v>6111</v>
      </c>
      <c r="D53" s="137" t="s">
        <v>229</v>
      </c>
      <c r="E53" s="132" t="s">
        <v>227</v>
      </c>
      <c r="F53" s="139">
        <v>2</v>
      </c>
      <c r="G53" s="139">
        <v>13.45</v>
      </c>
      <c r="H53" s="139">
        <f>ROUND(F53*G53,2)</f>
        <v>26.9</v>
      </c>
      <c r="I53" s="132"/>
      <c r="J53" s="132"/>
      <c r="K53" s="145"/>
      <c r="L53" s="30"/>
      <c r="M53" s="30"/>
    </row>
    <row r="54" spans="1:13" x14ac:dyDescent="0.25">
      <c r="A54" s="30"/>
      <c r="B54" s="127"/>
      <c r="C54" s="130"/>
      <c r="D54" s="137"/>
      <c r="E54" s="132"/>
      <c r="F54" s="146" t="s">
        <v>230</v>
      </c>
      <c r="G54" s="132"/>
      <c r="H54" s="147">
        <f>H51+H52+H53</f>
        <v>60.279999999999994</v>
      </c>
      <c r="I54" s="132"/>
      <c r="J54" s="132"/>
      <c r="K54" s="145"/>
      <c r="L54" s="30"/>
      <c r="M54" s="30"/>
    </row>
    <row r="55" spans="1:13" x14ac:dyDescent="0.25">
      <c r="A55" s="30"/>
      <c r="B55" s="127"/>
      <c r="C55" s="130"/>
      <c r="D55" s="128" t="s">
        <v>85</v>
      </c>
      <c r="E55" s="132"/>
      <c r="F55" s="30"/>
      <c r="G55" s="132"/>
      <c r="H55" s="132"/>
      <c r="I55" s="132"/>
      <c r="J55" s="132"/>
      <c r="K55" s="145"/>
      <c r="L55" s="30"/>
      <c r="M55" s="30"/>
    </row>
    <row r="56" spans="1:13" x14ac:dyDescent="0.25">
      <c r="A56" s="30"/>
      <c r="B56" s="127"/>
      <c r="C56" s="130">
        <v>6189</v>
      </c>
      <c r="D56" s="137" t="s">
        <v>231</v>
      </c>
      <c r="E56" s="132" t="s">
        <v>232</v>
      </c>
      <c r="F56" s="139">
        <v>2</v>
      </c>
      <c r="G56" s="139">
        <v>29.46</v>
      </c>
      <c r="H56" s="139">
        <f t="shared" ref="H56:H67" si="1">F56*G56</f>
        <v>58.92</v>
      </c>
      <c r="I56" s="132"/>
      <c r="J56" s="132"/>
      <c r="K56" s="145"/>
      <c r="L56" s="30"/>
      <c r="M56" s="30"/>
    </row>
    <row r="57" spans="1:13" ht="25.5" x14ac:dyDescent="0.25">
      <c r="A57" s="30"/>
      <c r="B57" s="127"/>
      <c r="C57" s="130">
        <v>35274</v>
      </c>
      <c r="D57" s="137" t="s">
        <v>233</v>
      </c>
      <c r="E57" s="132" t="s">
        <v>232</v>
      </c>
      <c r="F57" s="139">
        <v>1.8</v>
      </c>
      <c r="G57" s="139">
        <v>53.44</v>
      </c>
      <c r="H57" s="139">
        <f t="shared" si="1"/>
        <v>96.191999999999993</v>
      </c>
      <c r="I57" s="132"/>
      <c r="J57" s="132"/>
      <c r="K57" s="145"/>
      <c r="L57" s="30"/>
      <c r="M57" s="30"/>
    </row>
    <row r="58" spans="1:13" x14ac:dyDescent="0.25">
      <c r="A58" s="30"/>
      <c r="B58" s="127"/>
      <c r="C58" s="130">
        <v>20213</v>
      </c>
      <c r="D58" s="137" t="s">
        <v>234</v>
      </c>
      <c r="E58" s="132" t="s">
        <v>232</v>
      </c>
      <c r="F58" s="139">
        <v>0.8</v>
      </c>
      <c r="G58" s="139">
        <v>27.63</v>
      </c>
      <c r="H58" s="139">
        <f t="shared" si="1"/>
        <v>22.103999999999999</v>
      </c>
      <c r="I58" s="132"/>
      <c r="J58" s="132"/>
      <c r="K58" s="145"/>
      <c r="L58" s="30"/>
      <c r="M58" s="30"/>
    </row>
    <row r="59" spans="1:13" ht="25.5" x14ac:dyDescent="0.25">
      <c r="A59" s="30"/>
      <c r="B59" s="127"/>
      <c r="C59" s="130">
        <v>7213</v>
      </c>
      <c r="D59" s="137" t="s">
        <v>235</v>
      </c>
      <c r="E59" s="132" t="s">
        <v>236</v>
      </c>
      <c r="F59" s="139">
        <v>1.2</v>
      </c>
      <c r="G59" s="139">
        <v>25.95</v>
      </c>
      <c r="H59" s="139">
        <f t="shared" si="1"/>
        <v>31.139999999999997</v>
      </c>
      <c r="I59" s="132"/>
      <c r="J59" s="231"/>
      <c r="K59" s="145"/>
      <c r="L59" s="30"/>
      <c r="M59" s="30"/>
    </row>
    <row r="60" spans="1:13" ht="25.5" x14ac:dyDescent="0.25">
      <c r="A60" s="30"/>
      <c r="B60" s="127"/>
      <c r="C60" s="130">
        <v>6212</v>
      </c>
      <c r="D60" s="137" t="s">
        <v>237</v>
      </c>
      <c r="E60" s="132" t="s">
        <v>232</v>
      </c>
      <c r="F60" s="139">
        <v>1.0900000000000001</v>
      </c>
      <c r="G60" s="139">
        <v>19</v>
      </c>
      <c r="H60" s="139">
        <f t="shared" si="1"/>
        <v>20.71</v>
      </c>
      <c r="I60" s="132"/>
      <c r="J60" s="132"/>
      <c r="K60" s="145"/>
      <c r="L60" s="30"/>
      <c r="M60" s="30"/>
    </row>
    <row r="61" spans="1:13" x14ac:dyDescent="0.25">
      <c r="A61" s="30"/>
      <c r="B61" s="127"/>
      <c r="C61" s="130">
        <v>4721</v>
      </c>
      <c r="D61" s="137" t="s">
        <v>238</v>
      </c>
      <c r="E61" s="132" t="s">
        <v>239</v>
      </c>
      <c r="F61" s="139">
        <v>0.11</v>
      </c>
      <c r="G61" s="139">
        <v>77.39</v>
      </c>
      <c r="H61" s="139">
        <f t="shared" si="1"/>
        <v>8.5129000000000001</v>
      </c>
      <c r="I61" s="132"/>
      <c r="J61" s="132"/>
      <c r="K61" s="145"/>
      <c r="L61" s="30"/>
      <c r="M61" s="30"/>
    </row>
    <row r="62" spans="1:13" x14ac:dyDescent="0.25">
      <c r="A62" s="30"/>
      <c r="B62" s="127"/>
      <c r="C62" s="130">
        <v>367</v>
      </c>
      <c r="D62" s="137" t="s">
        <v>240</v>
      </c>
      <c r="E62" s="132" t="s">
        <v>239</v>
      </c>
      <c r="F62" s="139">
        <v>0.09</v>
      </c>
      <c r="G62" s="139">
        <v>65.819999999999993</v>
      </c>
      <c r="H62" s="139">
        <f t="shared" si="1"/>
        <v>5.9237999999999991</v>
      </c>
      <c r="I62" s="132"/>
      <c r="J62" s="132"/>
      <c r="K62" s="145"/>
      <c r="L62" s="30"/>
      <c r="M62" s="30"/>
    </row>
    <row r="63" spans="1:13" x14ac:dyDescent="0.25">
      <c r="A63" s="30"/>
      <c r="B63" s="127"/>
      <c r="C63" s="130">
        <v>1379</v>
      </c>
      <c r="D63" s="137" t="s">
        <v>241</v>
      </c>
      <c r="E63" s="132" t="s">
        <v>242</v>
      </c>
      <c r="F63" s="139">
        <v>23.69</v>
      </c>
      <c r="G63" s="139">
        <v>0.84</v>
      </c>
      <c r="H63" s="139">
        <f t="shared" si="1"/>
        <v>19.8996</v>
      </c>
      <c r="I63" s="132"/>
      <c r="J63" s="132"/>
      <c r="K63" s="145"/>
      <c r="L63" s="30"/>
      <c r="M63" s="30"/>
    </row>
    <row r="64" spans="1:13" x14ac:dyDescent="0.25">
      <c r="A64" s="30"/>
      <c r="B64" s="127"/>
      <c r="C64" s="130">
        <v>5061</v>
      </c>
      <c r="D64" s="137" t="s">
        <v>243</v>
      </c>
      <c r="E64" s="132" t="s">
        <v>242</v>
      </c>
      <c r="F64" s="139">
        <v>0.8</v>
      </c>
      <c r="G64" s="139">
        <v>20.86</v>
      </c>
      <c r="H64" s="139">
        <f t="shared" si="1"/>
        <v>16.687999999999999</v>
      </c>
      <c r="I64" s="132"/>
      <c r="J64" s="132"/>
      <c r="K64" s="145"/>
      <c r="L64" s="30"/>
      <c r="M64" s="30"/>
    </row>
    <row r="65" spans="1:13" x14ac:dyDescent="0.25">
      <c r="A65" s="30"/>
      <c r="B65" s="127"/>
      <c r="C65" s="130">
        <v>4460</v>
      </c>
      <c r="D65" s="137" t="s">
        <v>244</v>
      </c>
      <c r="E65" s="132" t="s">
        <v>232</v>
      </c>
      <c r="F65" s="139">
        <v>2.5</v>
      </c>
      <c r="G65" s="139">
        <v>10.09</v>
      </c>
      <c r="H65" s="139">
        <f t="shared" si="1"/>
        <v>25.225000000000001</v>
      </c>
      <c r="I65" s="132"/>
      <c r="J65" s="132"/>
      <c r="K65" s="145"/>
      <c r="L65" s="30"/>
      <c r="M65" s="30"/>
    </row>
    <row r="66" spans="1:13" ht="25.5" x14ac:dyDescent="0.25">
      <c r="A66" s="30"/>
      <c r="B66" s="127"/>
      <c r="C66" s="130">
        <v>43682</v>
      </c>
      <c r="D66" s="137" t="s">
        <v>245</v>
      </c>
      <c r="E66" s="132" t="s">
        <v>236</v>
      </c>
      <c r="F66" s="139">
        <v>1</v>
      </c>
      <c r="G66" s="139">
        <v>22.8</v>
      </c>
      <c r="H66" s="139">
        <f t="shared" si="1"/>
        <v>22.8</v>
      </c>
      <c r="I66" s="132"/>
      <c r="J66" s="132"/>
      <c r="K66" s="145"/>
      <c r="L66" s="30"/>
      <c r="M66" s="30"/>
    </row>
    <row r="67" spans="1:13" x14ac:dyDescent="0.25">
      <c r="A67" s="30"/>
      <c r="B67" s="127"/>
      <c r="C67" s="130">
        <v>20247</v>
      </c>
      <c r="D67" s="137" t="s">
        <v>246</v>
      </c>
      <c r="E67" s="132" t="s">
        <v>242</v>
      </c>
      <c r="F67" s="139">
        <v>0.2</v>
      </c>
      <c r="G67" s="139">
        <v>23.45</v>
      </c>
      <c r="H67" s="139">
        <f t="shared" si="1"/>
        <v>4.6900000000000004</v>
      </c>
      <c r="I67" s="132"/>
      <c r="J67" s="132"/>
      <c r="K67" s="145"/>
      <c r="L67" s="30"/>
      <c r="M67" s="30"/>
    </row>
    <row r="68" spans="1:13" x14ac:dyDescent="0.25">
      <c r="A68" s="30"/>
      <c r="B68" s="127"/>
      <c r="C68" s="130"/>
      <c r="D68" s="137"/>
      <c r="E68" s="132"/>
      <c r="F68" s="146" t="s">
        <v>230</v>
      </c>
      <c r="G68" s="132"/>
      <c r="H68" s="147">
        <f>H56+H57+H58+H59+H60+H61+H62+H63+H64+H65+H66+H67</f>
        <v>332.80530000000005</v>
      </c>
      <c r="I68" s="132"/>
      <c r="J68" s="132"/>
      <c r="K68" s="145"/>
      <c r="L68" s="30"/>
      <c r="M68" s="30"/>
    </row>
    <row r="69" spans="1:13" x14ac:dyDescent="0.25">
      <c r="A69" s="30"/>
      <c r="B69" s="127"/>
      <c r="C69" s="130"/>
      <c r="D69" s="137"/>
      <c r="E69" s="132"/>
      <c r="F69" s="146"/>
      <c r="G69" s="132"/>
      <c r="H69" s="147"/>
      <c r="I69" s="132"/>
      <c r="J69" s="132"/>
      <c r="K69" s="145"/>
      <c r="L69" s="30"/>
      <c r="M69" s="30"/>
    </row>
    <row r="70" spans="1:13" ht="25.5" x14ac:dyDescent="0.25">
      <c r="A70" s="30"/>
      <c r="B70" s="122" t="s">
        <v>28</v>
      </c>
      <c r="C70" s="123" t="s">
        <v>16</v>
      </c>
      <c r="D70" s="124" t="s">
        <v>26</v>
      </c>
      <c r="E70" s="125"/>
      <c r="F70" s="125"/>
      <c r="G70" s="125"/>
      <c r="H70" s="126"/>
      <c r="I70" s="252" t="s">
        <v>354</v>
      </c>
      <c r="J70" s="122">
        <v>230.19</v>
      </c>
      <c r="K70" s="3"/>
      <c r="L70" s="3"/>
      <c r="M70" s="30"/>
    </row>
    <row r="71" spans="1:13" ht="15.75" customHeight="1" x14ac:dyDescent="0.25">
      <c r="A71" s="30"/>
      <c r="B71" s="127"/>
      <c r="C71" s="127"/>
      <c r="F71" s="326" t="s">
        <v>358</v>
      </c>
      <c r="G71" s="326"/>
      <c r="H71" s="327" t="s">
        <v>100</v>
      </c>
      <c r="I71" s="327"/>
      <c r="J71" s="327" t="s">
        <v>359</v>
      </c>
      <c r="K71" s="144"/>
      <c r="L71" s="30"/>
      <c r="M71" s="30"/>
    </row>
    <row r="72" spans="1:13" ht="15.75" customHeight="1" x14ac:dyDescent="0.25">
      <c r="A72" s="30"/>
      <c r="B72" s="127"/>
      <c r="C72" s="127"/>
      <c r="D72" s="128" t="s">
        <v>346</v>
      </c>
      <c r="E72" s="127" t="s">
        <v>3</v>
      </c>
      <c r="F72" s="127" t="s">
        <v>360</v>
      </c>
      <c r="G72" s="129" t="s">
        <v>361</v>
      </c>
      <c r="H72" s="129" t="s">
        <v>362</v>
      </c>
      <c r="I72" s="129" t="s">
        <v>363</v>
      </c>
      <c r="J72" s="327"/>
      <c r="K72" s="30"/>
      <c r="L72" s="30"/>
      <c r="M72" s="30"/>
    </row>
    <row r="73" spans="1:13" ht="25.5" x14ac:dyDescent="0.25">
      <c r="A73" s="30"/>
      <c r="B73" s="130" t="s">
        <v>72</v>
      </c>
      <c r="C73" s="130" t="s">
        <v>355</v>
      </c>
      <c r="D73" s="251" t="s">
        <v>353</v>
      </c>
      <c r="E73" s="256">
        <v>3</v>
      </c>
      <c r="F73" s="235">
        <v>0.91</v>
      </c>
      <c r="G73" s="249">
        <v>0.09</v>
      </c>
      <c r="H73" s="253">
        <v>292.35149999999999</v>
      </c>
      <c r="I73" s="253">
        <v>97.622399999999999</v>
      </c>
      <c r="J73" s="253">
        <v>824.47760000000005</v>
      </c>
      <c r="K73" s="30"/>
      <c r="L73" s="30"/>
      <c r="M73" s="30"/>
    </row>
    <row r="74" spans="1:13" ht="25.5" x14ac:dyDescent="0.25">
      <c r="A74" s="30"/>
      <c r="B74" s="130" t="s">
        <v>72</v>
      </c>
      <c r="C74" s="130" t="s">
        <v>356</v>
      </c>
      <c r="D74" s="251" t="s">
        <v>357</v>
      </c>
      <c r="E74" s="256">
        <v>1</v>
      </c>
      <c r="F74" s="132">
        <v>1</v>
      </c>
      <c r="G74" s="132">
        <v>0</v>
      </c>
      <c r="H74" s="253">
        <v>324.26900000000001</v>
      </c>
      <c r="I74" s="253">
        <v>150.5248</v>
      </c>
      <c r="J74" s="253">
        <v>324.26900000000001</v>
      </c>
      <c r="K74" s="30"/>
      <c r="L74" s="30"/>
      <c r="M74" s="30"/>
    </row>
    <row r="75" spans="1:13" x14ac:dyDescent="0.25">
      <c r="A75" s="30"/>
      <c r="B75" s="130"/>
      <c r="C75" s="130"/>
      <c r="D75" s="251"/>
      <c r="E75" s="129"/>
      <c r="F75" s="132"/>
      <c r="G75" s="132"/>
      <c r="H75" s="253"/>
      <c r="I75" s="255" t="s">
        <v>364</v>
      </c>
      <c r="J75" s="255">
        <f>SUM(J73:J74)</f>
        <v>1148.7465999999999</v>
      </c>
      <c r="K75" s="30"/>
      <c r="L75" s="30"/>
      <c r="M75" s="30"/>
    </row>
    <row r="76" spans="1:13" ht="26.45" customHeight="1" x14ac:dyDescent="0.25">
      <c r="A76" s="30"/>
      <c r="B76" s="127"/>
      <c r="C76" s="127"/>
      <c r="D76" s="128" t="s">
        <v>81</v>
      </c>
      <c r="E76" s="127" t="s">
        <v>3</v>
      </c>
      <c r="F76" s="127" t="s">
        <v>2</v>
      </c>
      <c r="G76" s="129" t="s">
        <v>100</v>
      </c>
      <c r="H76" s="129"/>
      <c r="I76" s="30"/>
      <c r="J76" s="129" t="s">
        <v>359</v>
      </c>
      <c r="K76" s="30"/>
      <c r="L76" s="30"/>
      <c r="M76" s="30"/>
    </row>
    <row r="77" spans="1:13" x14ac:dyDescent="0.25">
      <c r="A77" s="30"/>
      <c r="B77" s="130" t="s">
        <v>72</v>
      </c>
      <c r="C77" s="130" t="s">
        <v>341</v>
      </c>
      <c r="D77" s="138" t="s">
        <v>340</v>
      </c>
      <c r="E77" s="256">
        <v>1.9350000000000001</v>
      </c>
      <c r="F77" s="132" t="s">
        <v>58</v>
      </c>
      <c r="G77" s="249">
        <v>19.555800000000001</v>
      </c>
      <c r="H77" s="139"/>
      <c r="I77" s="30"/>
      <c r="J77" s="144">
        <f>G77*E77</f>
        <v>37.840473000000003</v>
      </c>
      <c r="K77" s="30"/>
      <c r="L77" s="30"/>
      <c r="M77" s="30"/>
    </row>
    <row r="78" spans="1:13" x14ac:dyDescent="0.25">
      <c r="A78" s="30"/>
      <c r="B78" s="30"/>
      <c r="C78" s="30"/>
      <c r="D78" s="30"/>
      <c r="E78" s="30"/>
      <c r="F78" s="30"/>
      <c r="G78" s="132"/>
      <c r="H78" s="139"/>
      <c r="I78" s="255" t="s">
        <v>365</v>
      </c>
      <c r="J78" s="255">
        <f>SUM(J76:J77)</f>
        <v>37.840473000000003</v>
      </c>
      <c r="K78" s="30"/>
      <c r="L78" s="30"/>
    </row>
    <row r="79" spans="1:13" x14ac:dyDescent="0.25">
      <c r="A79" s="30"/>
      <c r="B79" s="30"/>
      <c r="C79" s="30"/>
      <c r="D79" s="30"/>
      <c r="E79" s="30"/>
      <c r="F79" s="30"/>
      <c r="G79" s="132"/>
      <c r="H79" s="139"/>
      <c r="I79" s="255" t="s">
        <v>366</v>
      </c>
      <c r="J79" s="255">
        <f>J75+J78</f>
        <v>1186.5870729999999</v>
      </c>
      <c r="K79" s="30"/>
      <c r="L79" s="30"/>
    </row>
    <row r="80" spans="1:13" x14ac:dyDescent="0.25">
      <c r="A80" s="30"/>
      <c r="B80" s="30"/>
      <c r="C80" s="30"/>
      <c r="D80" s="30"/>
      <c r="E80" s="30"/>
      <c r="F80" s="30"/>
      <c r="G80" s="30"/>
      <c r="H80" s="30"/>
      <c r="I80" s="255" t="s">
        <v>367</v>
      </c>
      <c r="J80" s="255">
        <f>J79/J70</f>
        <v>5.1548159042530077</v>
      </c>
      <c r="K80" s="30"/>
      <c r="L80" s="142"/>
    </row>
    <row r="81" spans="1:13" x14ac:dyDescent="0.25">
      <c r="A81" s="30"/>
      <c r="B81" s="30"/>
      <c r="C81" s="30"/>
      <c r="D81" s="30"/>
      <c r="E81" s="30"/>
      <c r="F81" s="30"/>
      <c r="G81" s="30"/>
      <c r="H81" s="30"/>
      <c r="I81" s="255" t="s">
        <v>368</v>
      </c>
      <c r="J81" s="255">
        <v>0.13519999999999999</v>
      </c>
      <c r="K81" s="30"/>
      <c r="L81" s="142"/>
    </row>
    <row r="82" spans="1:13" x14ac:dyDescent="0.25">
      <c r="A82" s="30"/>
      <c r="B82" s="30"/>
      <c r="C82" s="30"/>
      <c r="D82" s="30"/>
      <c r="E82" s="30"/>
      <c r="F82" s="30"/>
      <c r="G82" s="30"/>
      <c r="H82" s="30"/>
      <c r="I82" s="255" t="s">
        <v>369</v>
      </c>
      <c r="J82" s="147">
        <f>J80+J81</f>
        <v>5.2900159042530079</v>
      </c>
      <c r="K82" s="30"/>
      <c r="L82" s="142"/>
    </row>
    <row r="83" spans="1:13" x14ac:dyDescent="0.25">
      <c r="A83" s="30"/>
      <c r="B83" s="30"/>
      <c r="C83" s="30"/>
      <c r="D83" s="30"/>
      <c r="E83" s="30"/>
      <c r="F83" s="30"/>
      <c r="G83" s="30"/>
      <c r="H83" s="30"/>
      <c r="I83" s="255"/>
      <c r="J83" s="30"/>
      <c r="K83" s="30"/>
      <c r="L83" s="142"/>
    </row>
    <row r="84" spans="1:13" ht="38.25" x14ac:dyDescent="0.25">
      <c r="A84" s="30"/>
      <c r="B84" s="122" t="s">
        <v>31</v>
      </c>
      <c r="C84" s="123" t="s">
        <v>16</v>
      </c>
      <c r="D84" s="124" t="s">
        <v>29</v>
      </c>
      <c r="E84" s="125"/>
      <c r="F84" s="125"/>
      <c r="G84" s="125"/>
      <c r="H84" s="126"/>
      <c r="I84" s="252" t="s">
        <v>354</v>
      </c>
      <c r="J84" s="122">
        <v>1531.91</v>
      </c>
      <c r="K84" s="3"/>
      <c r="L84" s="3"/>
      <c r="M84" s="30"/>
    </row>
    <row r="85" spans="1:13" ht="15.75" customHeight="1" x14ac:dyDescent="0.25">
      <c r="A85" s="30"/>
      <c r="B85" s="127"/>
      <c r="C85" s="127"/>
      <c r="F85" s="326" t="s">
        <v>358</v>
      </c>
      <c r="G85" s="326"/>
      <c r="H85" s="327" t="s">
        <v>100</v>
      </c>
      <c r="I85" s="327"/>
      <c r="J85" s="327" t="s">
        <v>359</v>
      </c>
      <c r="K85" s="144"/>
      <c r="L85" s="30"/>
      <c r="M85" s="30"/>
    </row>
    <row r="86" spans="1:13" ht="15.75" customHeight="1" x14ac:dyDescent="0.25">
      <c r="A86" s="30"/>
      <c r="B86" s="127"/>
      <c r="C86" s="127"/>
      <c r="D86" s="128" t="s">
        <v>346</v>
      </c>
      <c r="E86" s="127" t="s">
        <v>3</v>
      </c>
      <c r="F86" s="127" t="s">
        <v>360</v>
      </c>
      <c r="G86" s="129" t="s">
        <v>361</v>
      </c>
      <c r="H86" s="129" t="s">
        <v>362</v>
      </c>
      <c r="I86" s="129" t="s">
        <v>363</v>
      </c>
      <c r="J86" s="327"/>
      <c r="K86" s="30"/>
      <c r="L86" s="30"/>
      <c r="M86" s="30"/>
    </row>
    <row r="87" spans="1:13" x14ac:dyDescent="0.25">
      <c r="A87" s="30"/>
      <c r="B87" s="130" t="s">
        <v>72</v>
      </c>
      <c r="C87" s="130" t="s">
        <v>371</v>
      </c>
      <c r="D87" s="251" t="s">
        <v>370</v>
      </c>
      <c r="E87" s="256">
        <v>1.06</v>
      </c>
      <c r="F87" s="235">
        <v>1</v>
      </c>
      <c r="G87" s="249">
        <v>0</v>
      </c>
      <c r="H87" s="253">
        <v>735.97</v>
      </c>
      <c r="I87" s="253">
        <v>300.68369999999999</v>
      </c>
      <c r="J87" s="253">
        <f>H87*E87</f>
        <v>780.12820000000011</v>
      </c>
      <c r="K87" s="30"/>
      <c r="L87" s="30"/>
      <c r="M87" s="30"/>
    </row>
    <row r="88" spans="1:13" x14ac:dyDescent="0.25">
      <c r="A88" s="30"/>
      <c r="B88" s="130"/>
      <c r="C88" s="130"/>
      <c r="D88" s="251"/>
      <c r="E88" s="129"/>
      <c r="F88" s="132"/>
      <c r="G88" s="132"/>
      <c r="H88" s="253"/>
      <c r="I88" s="255" t="s">
        <v>364</v>
      </c>
      <c r="J88" s="255">
        <f>SUM(J87:J87)</f>
        <v>780.12820000000011</v>
      </c>
      <c r="K88" s="30"/>
      <c r="L88" s="30"/>
      <c r="M88" s="30"/>
    </row>
    <row r="89" spans="1:13" ht="26.45" customHeight="1" x14ac:dyDescent="0.25">
      <c r="A89" s="30"/>
      <c r="B89" s="127"/>
      <c r="C89" s="127"/>
      <c r="D89" s="128" t="s">
        <v>81</v>
      </c>
      <c r="E89" s="127" t="s">
        <v>3</v>
      </c>
      <c r="F89" s="127" t="s">
        <v>2</v>
      </c>
      <c r="G89" s="129" t="s">
        <v>100</v>
      </c>
      <c r="H89" s="129"/>
      <c r="I89" s="30"/>
      <c r="J89" s="129" t="s">
        <v>359</v>
      </c>
      <c r="K89" s="30"/>
      <c r="L89" s="30"/>
      <c r="M89" s="30"/>
    </row>
    <row r="90" spans="1:13" x14ac:dyDescent="0.25">
      <c r="A90" s="30"/>
      <c r="B90" s="130" t="s">
        <v>72</v>
      </c>
      <c r="C90" s="130" t="s">
        <v>341</v>
      </c>
      <c r="D90" s="138" t="s">
        <v>340</v>
      </c>
      <c r="E90" s="256">
        <v>2</v>
      </c>
      <c r="F90" s="132" t="s">
        <v>58</v>
      </c>
      <c r="G90" s="249">
        <v>19.555800000000001</v>
      </c>
      <c r="H90" s="139"/>
      <c r="I90" s="30"/>
      <c r="J90" s="144">
        <f>G90*E90</f>
        <v>39.111600000000003</v>
      </c>
      <c r="K90" s="254"/>
      <c r="L90" s="30"/>
      <c r="M90" s="30"/>
    </row>
    <row r="91" spans="1:13" x14ac:dyDescent="0.25">
      <c r="A91" s="30"/>
      <c r="B91" s="30"/>
      <c r="C91" s="30"/>
      <c r="D91" s="30"/>
      <c r="E91" s="30"/>
      <c r="F91" s="30"/>
      <c r="G91" s="132"/>
      <c r="H91" s="139"/>
      <c r="I91" s="255" t="s">
        <v>365</v>
      </c>
      <c r="J91" s="255">
        <f>J90</f>
        <v>39.111600000000003</v>
      </c>
      <c r="K91" s="254"/>
      <c r="L91" s="30"/>
    </row>
    <row r="92" spans="1:13" x14ac:dyDescent="0.25">
      <c r="A92" s="30"/>
      <c r="B92" s="30"/>
      <c r="C92" s="30"/>
      <c r="D92" s="30"/>
      <c r="E92" s="30"/>
      <c r="F92" s="30"/>
      <c r="G92" s="132"/>
      <c r="H92" s="139"/>
      <c r="I92" s="255" t="s">
        <v>366</v>
      </c>
      <c r="J92" s="255">
        <f>J91+J88</f>
        <v>819.23980000000006</v>
      </c>
      <c r="K92" s="254"/>
      <c r="L92" s="30"/>
    </row>
    <row r="93" spans="1:13" x14ac:dyDescent="0.25">
      <c r="A93" s="30"/>
      <c r="B93" s="30"/>
      <c r="C93" s="30"/>
      <c r="D93" s="30"/>
      <c r="E93" s="30"/>
      <c r="F93" s="30"/>
      <c r="G93" s="30"/>
      <c r="H93" s="30"/>
      <c r="I93" s="255" t="s">
        <v>367</v>
      </c>
      <c r="J93" s="255">
        <f>J92/J84</f>
        <v>0.53478324444647529</v>
      </c>
      <c r="K93" s="30"/>
      <c r="L93" s="142"/>
    </row>
    <row r="94" spans="1:13" x14ac:dyDescent="0.25">
      <c r="A94" s="30"/>
      <c r="B94" s="30"/>
      <c r="C94" s="30"/>
      <c r="D94" s="30"/>
      <c r="E94" s="30"/>
      <c r="F94" s="30"/>
      <c r="G94" s="30"/>
      <c r="H94" s="30"/>
      <c r="I94" s="255" t="s">
        <v>368</v>
      </c>
      <c r="J94" s="255">
        <v>2.3E-3</v>
      </c>
      <c r="K94" s="30"/>
      <c r="L94" s="142"/>
    </row>
    <row r="95" spans="1:13" x14ac:dyDescent="0.25">
      <c r="A95" s="30"/>
      <c r="B95" s="30"/>
      <c r="C95" s="30"/>
      <c r="D95" s="30"/>
      <c r="E95" s="30"/>
      <c r="F95" s="30"/>
      <c r="G95" s="30"/>
      <c r="H95" s="30"/>
      <c r="I95" s="255" t="s">
        <v>369</v>
      </c>
      <c r="J95" s="147">
        <f>J93+J94</f>
        <v>0.53708324444647526</v>
      </c>
      <c r="K95" s="30"/>
      <c r="L95" s="142"/>
    </row>
    <row r="96" spans="1:13" x14ac:dyDescent="0.25">
      <c r="A96" s="30"/>
      <c r="B96" s="30"/>
      <c r="C96" s="30"/>
      <c r="D96" s="30"/>
      <c r="E96" s="30"/>
      <c r="F96" s="30"/>
      <c r="G96" s="30"/>
      <c r="H96" s="30"/>
      <c r="I96" s="255"/>
      <c r="J96" s="30"/>
      <c r="K96" s="30"/>
      <c r="L96" s="142"/>
    </row>
    <row r="97" spans="1:13" ht="25.5" x14ac:dyDescent="0.25">
      <c r="A97" s="30"/>
      <c r="B97" s="122" t="s">
        <v>32</v>
      </c>
      <c r="C97" s="123" t="s">
        <v>16</v>
      </c>
      <c r="D97" s="124" t="s">
        <v>35</v>
      </c>
      <c r="E97" s="125"/>
      <c r="F97" s="125"/>
      <c r="G97" s="125"/>
      <c r="H97" s="126"/>
      <c r="I97" s="252" t="s">
        <v>354</v>
      </c>
      <c r="J97" s="122">
        <v>286.19</v>
      </c>
      <c r="K97" s="3"/>
      <c r="L97" s="3"/>
      <c r="M97" s="30"/>
    </row>
    <row r="98" spans="1:13" ht="15.75" customHeight="1" x14ac:dyDescent="0.25">
      <c r="A98" s="30"/>
      <c r="B98" s="127"/>
      <c r="C98" s="127"/>
      <c r="F98" s="326" t="s">
        <v>358</v>
      </c>
      <c r="G98" s="326"/>
      <c r="H98" s="327" t="s">
        <v>100</v>
      </c>
      <c r="I98" s="327"/>
      <c r="J98" s="327" t="s">
        <v>359</v>
      </c>
      <c r="K98" s="144"/>
      <c r="L98" s="30"/>
      <c r="M98" s="30"/>
    </row>
    <row r="99" spans="1:13" ht="15.75" customHeight="1" x14ac:dyDescent="0.25">
      <c r="A99" s="30"/>
      <c r="B99" s="127"/>
      <c r="C99" s="127"/>
      <c r="D99" s="128" t="s">
        <v>346</v>
      </c>
      <c r="E99" s="127" t="s">
        <v>3</v>
      </c>
      <c r="F99" s="127" t="s">
        <v>360</v>
      </c>
      <c r="G99" s="129" t="s">
        <v>361</v>
      </c>
      <c r="H99" s="129" t="s">
        <v>362</v>
      </c>
      <c r="I99" s="129" t="s">
        <v>363</v>
      </c>
      <c r="J99" s="327"/>
      <c r="K99" s="30"/>
      <c r="L99" s="30"/>
      <c r="M99" s="30"/>
    </row>
    <row r="100" spans="1:13" x14ac:dyDescent="0.25">
      <c r="A100" s="30"/>
      <c r="B100" s="130" t="s">
        <v>72</v>
      </c>
      <c r="C100" s="130" t="s">
        <v>371</v>
      </c>
      <c r="D100" s="251" t="s">
        <v>370</v>
      </c>
      <c r="E100" s="256">
        <v>1.04</v>
      </c>
      <c r="F100" s="235">
        <v>1</v>
      </c>
      <c r="G100" s="249">
        <v>0</v>
      </c>
      <c r="H100" s="253">
        <v>735.97</v>
      </c>
      <c r="I100" s="253">
        <v>300.68369999999999</v>
      </c>
      <c r="J100" s="253">
        <f>H100*E100</f>
        <v>765.40880000000004</v>
      </c>
      <c r="K100" s="30"/>
      <c r="L100" s="30"/>
      <c r="M100" s="30"/>
    </row>
    <row r="101" spans="1:13" x14ac:dyDescent="0.25">
      <c r="A101" s="30"/>
      <c r="B101" s="130"/>
      <c r="C101" s="130"/>
      <c r="D101" s="251"/>
      <c r="E101" s="129"/>
      <c r="F101" s="132"/>
      <c r="G101" s="132"/>
      <c r="H101" s="253"/>
      <c r="I101" s="255" t="s">
        <v>364</v>
      </c>
      <c r="J101" s="255">
        <f>SUM(J100:J100)</f>
        <v>765.40880000000004</v>
      </c>
      <c r="K101" s="30"/>
      <c r="L101" s="30"/>
      <c r="M101" s="30"/>
    </row>
    <row r="102" spans="1:13" ht="26.45" customHeight="1" x14ac:dyDescent="0.25">
      <c r="A102" s="30"/>
      <c r="B102" s="127"/>
      <c r="C102" s="127"/>
      <c r="D102" s="128" t="s">
        <v>81</v>
      </c>
      <c r="E102" s="127" t="s">
        <v>3</v>
      </c>
      <c r="F102" s="127" t="s">
        <v>2</v>
      </c>
      <c r="G102" s="129" t="s">
        <v>100</v>
      </c>
      <c r="H102" s="129"/>
      <c r="I102" s="30"/>
      <c r="J102" s="129" t="s">
        <v>359</v>
      </c>
      <c r="K102" s="30"/>
      <c r="L102" s="30"/>
      <c r="M102" s="30"/>
    </row>
    <row r="103" spans="1:13" x14ac:dyDescent="0.25">
      <c r="A103" s="30"/>
      <c r="B103" s="130" t="s">
        <v>72</v>
      </c>
      <c r="C103" s="130" t="s">
        <v>341</v>
      </c>
      <c r="D103" s="138" t="s">
        <v>340</v>
      </c>
      <c r="E103" s="256">
        <v>2</v>
      </c>
      <c r="F103" s="132" t="s">
        <v>58</v>
      </c>
      <c r="G103" s="249">
        <v>19.555800000000001</v>
      </c>
      <c r="H103" s="139"/>
      <c r="I103" s="30"/>
      <c r="J103" s="144">
        <f>G103*E103</f>
        <v>39.111600000000003</v>
      </c>
      <c r="K103" s="254"/>
      <c r="L103" s="30"/>
      <c r="M103" s="30"/>
    </row>
    <row r="104" spans="1:13" x14ac:dyDescent="0.25">
      <c r="A104" s="30"/>
      <c r="B104" s="30"/>
      <c r="C104" s="30"/>
      <c r="D104" s="30"/>
      <c r="E104" s="30"/>
      <c r="F104" s="30"/>
      <c r="G104" s="132"/>
      <c r="H104" s="139"/>
      <c r="I104" s="255" t="s">
        <v>365</v>
      </c>
      <c r="J104" s="255">
        <f>J103</f>
        <v>39.111600000000003</v>
      </c>
      <c r="K104" s="254"/>
      <c r="L104" s="30"/>
    </row>
    <row r="105" spans="1:13" x14ac:dyDescent="0.25">
      <c r="A105" s="30"/>
      <c r="B105" s="30"/>
      <c r="C105" s="30"/>
      <c r="D105" s="30"/>
      <c r="E105" s="30"/>
      <c r="F105" s="30"/>
      <c r="G105" s="132"/>
      <c r="H105" s="139"/>
      <c r="I105" s="255" t="s">
        <v>366</v>
      </c>
      <c r="J105" s="255">
        <f>J104+J101</f>
        <v>804.5204</v>
      </c>
      <c r="K105" s="254"/>
      <c r="L105" s="30"/>
    </row>
    <row r="106" spans="1:13" x14ac:dyDescent="0.25">
      <c r="A106" s="30"/>
      <c r="B106" s="30"/>
      <c r="C106" s="30"/>
      <c r="D106" s="30"/>
      <c r="E106" s="30"/>
      <c r="F106" s="30"/>
      <c r="G106" s="30"/>
      <c r="H106" s="30"/>
      <c r="I106" s="255" t="s">
        <v>367</v>
      </c>
      <c r="J106" s="255">
        <f>J105/J97</f>
        <v>2.8111408504839441</v>
      </c>
      <c r="K106" s="30"/>
      <c r="L106" s="142"/>
    </row>
    <row r="107" spans="1:13" x14ac:dyDescent="0.25">
      <c r="A107" s="30"/>
      <c r="B107" s="30"/>
      <c r="C107" s="30"/>
      <c r="D107" s="30"/>
      <c r="E107" s="30"/>
      <c r="F107" s="30"/>
      <c r="G107" s="30"/>
      <c r="H107" s="30"/>
      <c r="I107" s="255" t="s">
        <v>368</v>
      </c>
      <c r="J107" s="255">
        <v>7.1999999999999995E-2</v>
      </c>
      <c r="K107" s="30"/>
      <c r="L107" s="142"/>
    </row>
    <row r="108" spans="1:13" x14ac:dyDescent="0.25">
      <c r="A108" s="30"/>
      <c r="B108" s="30"/>
      <c r="C108" s="30"/>
      <c r="D108" s="30"/>
      <c r="E108" s="30"/>
      <c r="F108" s="30"/>
      <c r="G108" s="30"/>
      <c r="H108" s="30"/>
      <c r="I108" s="255" t="s">
        <v>369</v>
      </c>
      <c r="J108" s="147">
        <f>J106+J107</f>
        <v>2.8831408504839442</v>
      </c>
      <c r="K108" s="30"/>
      <c r="L108" s="142"/>
    </row>
    <row r="109" spans="1:13" x14ac:dyDescent="0.25">
      <c r="A109" s="30"/>
      <c r="B109" s="30"/>
      <c r="C109" s="30"/>
      <c r="D109" s="30"/>
      <c r="E109" s="30"/>
      <c r="F109" s="30"/>
      <c r="G109" s="30"/>
      <c r="H109" s="30"/>
      <c r="I109" s="255"/>
      <c r="J109" s="30"/>
      <c r="K109" s="30"/>
      <c r="L109" s="142"/>
    </row>
    <row r="110" spans="1:13" ht="25.5" x14ac:dyDescent="0.25">
      <c r="A110" s="30"/>
      <c r="B110" s="122" t="s">
        <v>33</v>
      </c>
      <c r="C110" s="123" t="s">
        <v>16</v>
      </c>
      <c r="D110" s="124" t="s">
        <v>267</v>
      </c>
      <c r="E110" s="125"/>
      <c r="F110" s="125"/>
      <c r="G110" s="125"/>
      <c r="H110" s="126"/>
      <c r="I110" s="252" t="s">
        <v>354</v>
      </c>
      <c r="J110" s="257">
        <v>4725.08</v>
      </c>
      <c r="K110" s="3"/>
      <c r="L110" s="3"/>
      <c r="M110" s="30"/>
    </row>
    <row r="111" spans="1:13" ht="15.75" customHeight="1" x14ac:dyDescent="0.25">
      <c r="A111" s="30"/>
      <c r="B111" s="127"/>
      <c r="C111" s="127"/>
      <c r="F111" s="326" t="s">
        <v>358</v>
      </c>
      <c r="G111" s="326"/>
      <c r="H111" s="327" t="s">
        <v>100</v>
      </c>
      <c r="I111" s="327"/>
      <c r="J111" s="327" t="s">
        <v>359</v>
      </c>
      <c r="K111" s="144"/>
      <c r="L111" s="30"/>
      <c r="M111" s="30"/>
    </row>
    <row r="112" spans="1:13" ht="15.75" customHeight="1" x14ac:dyDescent="0.25">
      <c r="A112" s="30"/>
      <c r="B112" s="127"/>
      <c r="C112" s="127"/>
      <c r="D112" s="128" t="s">
        <v>346</v>
      </c>
      <c r="E112" s="127" t="s">
        <v>3</v>
      </c>
      <c r="F112" s="127" t="s">
        <v>360</v>
      </c>
      <c r="G112" s="129" t="s">
        <v>361</v>
      </c>
      <c r="H112" s="129" t="s">
        <v>362</v>
      </c>
      <c r="I112" s="129" t="s">
        <v>363</v>
      </c>
      <c r="J112" s="327"/>
      <c r="K112" s="30"/>
      <c r="L112" s="30"/>
      <c r="M112" s="30"/>
    </row>
    <row r="113" spans="1:13" x14ac:dyDescent="0.25">
      <c r="A113" s="30"/>
      <c r="B113" s="130" t="s">
        <v>72</v>
      </c>
      <c r="C113" s="130" t="s">
        <v>350</v>
      </c>
      <c r="D113" s="251" t="s">
        <v>107</v>
      </c>
      <c r="E113" s="256">
        <v>1</v>
      </c>
      <c r="F113" s="235">
        <v>1</v>
      </c>
      <c r="G113" s="249">
        <v>0</v>
      </c>
      <c r="H113" s="253">
        <v>283.06650000000002</v>
      </c>
      <c r="I113" s="253">
        <v>123.1104</v>
      </c>
      <c r="J113" s="253">
        <f>H113*E113</f>
        <v>283.06650000000002</v>
      </c>
      <c r="K113" s="30"/>
      <c r="L113" s="30"/>
      <c r="M113" s="30"/>
    </row>
    <row r="114" spans="1:13" x14ac:dyDescent="0.25">
      <c r="A114" s="30"/>
      <c r="B114" s="130"/>
      <c r="C114" s="130"/>
      <c r="D114" s="251"/>
      <c r="E114" s="129"/>
      <c r="F114" s="132"/>
      <c r="G114" s="132"/>
      <c r="H114" s="253"/>
      <c r="I114" s="255" t="s">
        <v>364</v>
      </c>
      <c r="J114" s="255">
        <f>SUM(J113:J113)</f>
        <v>283.06650000000002</v>
      </c>
      <c r="K114" s="30"/>
      <c r="L114" s="30"/>
      <c r="M114" s="30"/>
    </row>
    <row r="115" spans="1:13" ht="26.45" customHeight="1" x14ac:dyDescent="0.25">
      <c r="A115" s="30"/>
      <c r="B115" s="127"/>
      <c r="C115" s="127"/>
      <c r="D115" s="128" t="s">
        <v>81</v>
      </c>
      <c r="E115" s="127" t="s">
        <v>3</v>
      </c>
      <c r="F115" s="127" t="s">
        <v>2</v>
      </c>
      <c r="G115" s="129" t="s">
        <v>100</v>
      </c>
      <c r="H115" s="129"/>
      <c r="I115" s="30"/>
      <c r="J115" s="129" t="s">
        <v>359</v>
      </c>
      <c r="K115" s="30"/>
      <c r="L115" s="30"/>
      <c r="M115" s="30"/>
    </row>
    <row r="116" spans="1:13" x14ac:dyDescent="0.25">
      <c r="A116" s="30"/>
      <c r="B116" s="130" t="s">
        <v>72</v>
      </c>
      <c r="C116" s="130" t="s">
        <v>341</v>
      </c>
      <c r="D116" s="138" t="s">
        <v>340</v>
      </c>
      <c r="E116" s="256">
        <v>0.8</v>
      </c>
      <c r="F116" s="132" t="s">
        <v>58</v>
      </c>
      <c r="G116" s="249">
        <v>19.555800000000001</v>
      </c>
      <c r="H116" s="139"/>
      <c r="I116" s="30"/>
      <c r="J116" s="144">
        <f>G116*E116</f>
        <v>15.644640000000003</v>
      </c>
      <c r="K116" s="254"/>
      <c r="L116" s="30"/>
      <c r="M116" s="30"/>
    </row>
    <row r="117" spans="1:13" x14ac:dyDescent="0.25">
      <c r="A117" s="30"/>
      <c r="B117" s="30"/>
      <c r="C117" s="30"/>
      <c r="D117" s="30"/>
      <c r="E117" s="30"/>
      <c r="F117" s="30"/>
      <c r="G117" s="132"/>
      <c r="H117" s="139"/>
      <c r="I117" s="255" t="s">
        <v>365</v>
      </c>
      <c r="J117" s="255">
        <f>J116</f>
        <v>15.644640000000003</v>
      </c>
      <c r="K117" s="254"/>
      <c r="L117" s="30"/>
    </row>
    <row r="118" spans="1:13" x14ac:dyDescent="0.25">
      <c r="A118" s="30"/>
      <c r="B118" s="30"/>
      <c r="C118" s="30"/>
      <c r="D118" s="30"/>
      <c r="E118" s="30"/>
      <c r="F118" s="30"/>
      <c r="G118" s="132"/>
      <c r="H118" s="139"/>
      <c r="I118" s="255" t="s">
        <v>366</v>
      </c>
      <c r="J118" s="255">
        <f>J117+J114</f>
        <v>298.71114</v>
      </c>
      <c r="K118" s="254"/>
      <c r="L118" s="30"/>
    </row>
    <row r="119" spans="1:13" x14ac:dyDescent="0.25">
      <c r="A119" s="30"/>
      <c r="B119" s="30"/>
      <c r="C119" s="30"/>
      <c r="D119" s="30"/>
      <c r="E119" s="30"/>
      <c r="F119" s="30"/>
      <c r="G119" s="30"/>
      <c r="H119" s="30"/>
      <c r="I119" s="255" t="s">
        <v>367</v>
      </c>
      <c r="J119" s="255">
        <f>J118/J110</f>
        <v>6.3218218527516995E-2</v>
      </c>
      <c r="K119" s="30"/>
      <c r="L119" s="142"/>
    </row>
    <row r="120" spans="1:13" x14ac:dyDescent="0.25">
      <c r="A120" s="30"/>
      <c r="B120" s="30"/>
      <c r="C120" s="30"/>
      <c r="D120" s="30"/>
      <c r="E120" s="30"/>
      <c r="F120" s="30"/>
      <c r="G120" s="30"/>
      <c r="H120" s="30"/>
      <c r="I120" s="255" t="s">
        <v>368</v>
      </c>
      <c r="J120" s="255">
        <v>1.6999999999999999E-3</v>
      </c>
      <c r="K120" s="30"/>
      <c r="L120" s="142"/>
    </row>
    <row r="121" spans="1:13" x14ac:dyDescent="0.25">
      <c r="A121" s="30"/>
      <c r="B121" s="30"/>
      <c r="C121" s="30"/>
      <c r="D121" s="30"/>
      <c r="E121" s="30"/>
      <c r="F121" s="30"/>
      <c r="G121" s="30"/>
      <c r="H121" s="30"/>
      <c r="I121" s="255" t="s">
        <v>369</v>
      </c>
      <c r="J121" s="147">
        <f>J119+J120</f>
        <v>6.4918218527516988E-2</v>
      </c>
      <c r="K121" s="30"/>
      <c r="L121" s="142"/>
    </row>
    <row r="122" spans="1:13" x14ac:dyDescent="0.25">
      <c r="A122" s="30"/>
      <c r="B122" s="30"/>
      <c r="C122" s="30"/>
      <c r="D122" s="30"/>
      <c r="E122" s="30"/>
      <c r="F122" s="30"/>
      <c r="G122" s="30"/>
      <c r="H122" s="30"/>
      <c r="I122" s="255"/>
      <c r="J122" s="30"/>
      <c r="K122" s="30"/>
      <c r="L122" s="142"/>
    </row>
    <row r="123" spans="1:13" ht="25.5" x14ac:dyDescent="0.25">
      <c r="A123" s="30"/>
      <c r="B123" s="122" t="s">
        <v>34</v>
      </c>
      <c r="C123" s="123" t="s">
        <v>16</v>
      </c>
      <c r="D123" s="124" t="s">
        <v>37</v>
      </c>
      <c r="E123" s="125"/>
      <c r="F123" s="125"/>
      <c r="G123" s="125"/>
      <c r="H123" s="126"/>
      <c r="I123" s="252" t="s">
        <v>354</v>
      </c>
      <c r="J123" s="122">
        <v>168.2</v>
      </c>
      <c r="K123" s="3"/>
      <c r="L123" s="3"/>
      <c r="M123" s="30"/>
    </row>
    <row r="124" spans="1:13" ht="15.75" customHeight="1" x14ac:dyDescent="0.25">
      <c r="A124" s="30"/>
      <c r="B124" s="127"/>
      <c r="C124" s="127"/>
      <c r="F124" s="326" t="s">
        <v>358</v>
      </c>
      <c r="G124" s="326"/>
      <c r="H124" s="327" t="s">
        <v>100</v>
      </c>
      <c r="I124" s="327"/>
      <c r="J124" s="327" t="s">
        <v>359</v>
      </c>
      <c r="K124" s="144"/>
      <c r="L124" s="30"/>
      <c r="M124" s="30"/>
    </row>
    <row r="125" spans="1:13" ht="15.75" customHeight="1" x14ac:dyDescent="0.25">
      <c r="A125" s="30"/>
      <c r="B125" s="127"/>
      <c r="C125" s="127"/>
      <c r="D125" s="128" t="s">
        <v>346</v>
      </c>
      <c r="E125" s="127" t="s">
        <v>3</v>
      </c>
      <c r="F125" s="127" t="s">
        <v>360</v>
      </c>
      <c r="G125" s="129" t="s">
        <v>361</v>
      </c>
      <c r="H125" s="129" t="s">
        <v>362</v>
      </c>
      <c r="I125" s="129" t="s">
        <v>363</v>
      </c>
      <c r="J125" s="327"/>
      <c r="K125" s="30"/>
      <c r="L125" s="30"/>
      <c r="M125" s="30"/>
    </row>
    <row r="126" spans="1:13" ht="25.5" x14ac:dyDescent="0.25">
      <c r="A126" s="30"/>
      <c r="B126" s="130" t="s">
        <v>72</v>
      </c>
      <c r="C126" s="130" t="s">
        <v>347</v>
      </c>
      <c r="D126" s="251" t="s">
        <v>117</v>
      </c>
      <c r="E126" s="256">
        <v>1</v>
      </c>
      <c r="F126" s="235">
        <v>0.9</v>
      </c>
      <c r="G126" s="249">
        <v>0.1</v>
      </c>
      <c r="H126" s="253">
        <v>319.56180000000001</v>
      </c>
      <c r="I126" s="253">
        <v>85.151499999999999</v>
      </c>
      <c r="J126" s="253">
        <v>296.12079999999997</v>
      </c>
      <c r="K126" s="30"/>
      <c r="L126" s="30"/>
      <c r="M126" s="30"/>
    </row>
    <row r="127" spans="1:13" x14ac:dyDescent="0.25">
      <c r="A127" s="30"/>
      <c r="B127" s="130" t="s">
        <v>72</v>
      </c>
      <c r="C127" s="130" t="s">
        <v>348</v>
      </c>
      <c r="D127" s="251" t="s">
        <v>349</v>
      </c>
      <c r="E127" s="256">
        <v>1</v>
      </c>
      <c r="F127" s="132">
        <v>0.52</v>
      </c>
      <c r="G127" s="132">
        <v>0.48</v>
      </c>
      <c r="H127" s="253">
        <v>4.9127999999999998</v>
      </c>
      <c r="I127" s="253">
        <v>3.4211999999999998</v>
      </c>
      <c r="J127" s="253">
        <v>4.1967999999999996</v>
      </c>
      <c r="K127" s="30"/>
      <c r="L127" s="30"/>
      <c r="M127" s="30"/>
    </row>
    <row r="128" spans="1:13" x14ac:dyDescent="0.25">
      <c r="A128" s="30"/>
      <c r="B128" s="130" t="s">
        <v>72</v>
      </c>
      <c r="C128" s="130" t="s">
        <v>350</v>
      </c>
      <c r="D128" s="251" t="s">
        <v>107</v>
      </c>
      <c r="E128" s="256">
        <v>1</v>
      </c>
      <c r="F128" s="132">
        <v>0.28999999999999998</v>
      </c>
      <c r="G128" s="132">
        <v>0.71</v>
      </c>
      <c r="H128" s="253">
        <v>283.06650000000002</v>
      </c>
      <c r="I128" s="253">
        <v>123.1104</v>
      </c>
      <c r="J128" s="253">
        <v>169.49770000000001</v>
      </c>
      <c r="K128" s="30"/>
      <c r="L128" s="30"/>
      <c r="M128" s="30"/>
    </row>
    <row r="129" spans="1:13" ht="25.5" x14ac:dyDescent="0.25">
      <c r="A129" s="30"/>
      <c r="B129" s="130" t="s">
        <v>72</v>
      </c>
      <c r="C129" s="130" t="s">
        <v>351</v>
      </c>
      <c r="D129" s="251" t="s">
        <v>111</v>
      </c>
      <c r="E129" s="256">
        <v>1</v>
      </c>
      <c r="F129" s="132">
        <v>1</v>
      </c>
      <c r="G129" s="132">
        <v>0</v>
      </c>
      <c r="H129" s="253">
        <v>193.28720000000001</v>
      </c>
      <c r="I129" s="253">
        <v>83.792000000000002</v>
      </c>
      <c r="J129" s="253">
        <f>H129*E129</f>
        <v>193.28720000000001</v>
      </c>
      <c r="K129" s="30"/>
      <c r="L129" s="30"/>
      <c r="M129" s="30"/>
    </row>
    <row r="130" spans="1:13" x14ac:dyDescent="0.25">
      <c r="A130" s="30"/>
      <c r="B130" s="130" t="s">
        <v>72</v>
      </c>
      <c r="C130" s="130" t="s">
        <v>352</v>
      </c>
      <c r="D130" s="251" t="s">
        <v>105</v>
      </c>
      <c r="E130" s="256">
        <v>1</v>
      </c>
      <c r="F130" s="132">
        <v>0.52</v>
      </c>
      <c r="G130" s="132">
        <v>0.48</v>
      </c>
      <c r="H130" s="253">
        <v>126.8049</v>
      </c>
      <c r="I130" s="253">
        <v>44.044400000000003</v>
      </c>
      <c r="J130" s="253">
        <v>87.079899999999995</v>
      </c>
      <c r="K130" s="30"/>
      <c r="L130" s="30"/>
      <c r="M130" s="30"/>
    </row>
    <row r="131" spans="1:13" x14ac:dyDescent="0.25">
      <c r="A131" s="30"/>
      <c r="B131" s="130"/>
      <c r="C131" s="130" t="s">
        <v>341</v>
      </c>
      <c r="D131" s="138" t="s">
        <v>340</v>
      </c>
      <c r="E131" s="129"/>
      <c r="F131" s="132"/>
      <c r="G131" s="132"/>
      <c r="H131" s="253"/>
      <c r="I131" s="255" t="s">
        <v>364</v>
      </c>
      <c r="J131" s="255">
        <f>SUM(J126:J130)</f>
        <v>750.18239999999992</v>
      </c>
      <c r="K131" s="30"/>
      <c r="L131" s="30"/>
      <c r="M131" s="30"/>
    </row>
    <row r="132" spans="1:13" ht="26.45" customHeight="1" x14ac:dyDescent="0.25">
      <c r="A132" s="30"/>
      <c r="B132" s="127"/>
      <c r="C132" s="127"/>
      <c r="D132" s="128" t="s">
        <v>81</v>
      </c>
      <c r="E132" s="127" t="s">
        <v>3</v>
      </c>
      <c r="F132" s="127" t="s">
        <v>2</v>
      </c>
      <c r="G132" s="129" t="s">
        <v>100</v>
      </c>
      <c r="H132" s="129"/>
      <c r="I132" s="30"/>
      <c r="J132" s="129" t="s">
        <v>359</v>
      </c>
      <c r="K132" s="30"/>
      <c r="L132" s="30"/>
      <c r="M132" s="30"/>
    </row>
    <row r="133" spans="1:13" x14ac:dyDescent="0.25">
      <c r="A133" s="30"/>
      <c r="B133" s="130" t="s">
        <v>72</v>
      </c>
      <c r="C133" s="130" t="s">
        <v>341</v>
      </c>
      <c r="D133" s="138" t="s">
        <v>340</v>
      </c>
      <c r="E133" s="256">
        <v>0.7</v>
      </c>
      <c r="F133" s="132" t="s">
        <v>58</v>
      </c>
      <c r="G133" s="249">
        <v>19.555800000000001</v>
      </c>
      <c r="H133" s="139"/>
      <c r="I133" s="30"/>
      <c r="J133" s="144">
        <f>G133*E133</f>
        <v>13.68906</v>
      </c>
      <c r="K133" s="30"/>
      <c r="L133" s="30"/>
      <c r="M133" s="30"/>
    </row>
    <row r="134" spans="1:13" x14ac:dyDescent="0.25">
      <c r="A134" s="30"/>
      <c r="B134" s="30"/>
      <c r="C134" s="30"/>
      <c r="D134" s="30"/>
      <c r="E134" s="30"/>
      <c r="F134" s="30"/>
      <c r="G134" s="132"/>
      <c r="H134" s="139"/>
      <c r="I134" s="255" t="s">
        <v>365</v>
      </c>
      <c r="J134" s="255">
        <f>SUM(J132:J133)</f>
        <v>13.68906</v>
      </c>
      <c r="K134" s="30"/>
      <c r="L134" s="30"/>
    </row>
    <row r="135" spans="1:13" x14ac:dyDescent="0.25">
      <c r="A135" s="30"/>
      <c r="B135" s="30"/>
      <c r="C135" s="30"/>
      <c r="D135" s="30"/>
      <c r="E135" s="30"/>
      <c r="F135" s="30"/>
      <c r="G135" s="132"/>
      <c r="H135" s="139"/>
      <c r="I135" s="255" t="s">
        <v>366</v>
      </c>
      <c r="J135" s="255">
        <f>J131+J134</f>
        <v>763.87145999999996</v>
      </c>
      <c r="K135" s="30"/>
      <c r="L135" s="30"/>
    </row>
    <row r="136" spans="1:13" x14ac:dyDescent="0.25">
      <c r="A136" s="30"/>
      <c r="B136" s="30"/>
      <c r="C136" s="30"/>
      <c r="D136" s="30"/>
      <c r="E136" s="30"/>
      <c r="F136" s="30"/>
      <c r="G136" s="30"/>
      <c r="H136" s="30"/>
      <c r="I136" s="255" t="s">
        <v>367</v>
      </c>
      <c r="J136" s="255">
        <f>J135/J123</f>
        <v>4.5414474435196199</v>
      </c>
      <c r="K136" s="30"/>
      <c r="L136" s="142"/>
    </row>
    <row r="137" spans="1:13" x14ac:dyDescent="0.25">
      <c r="A137" s="30"/>
      <c r="B137" s="30"/>
      <c r="C137" s="30"/>
      <c r="D137" s="30"/>
      <c r="E137" s="30"/>
      <c r="F137" s="30"/>
      <c r="G137" s="30"/>
      <c r="H137" s="30"/>
      <c r="I137" s="255" t="s">
        <v>368</v>
      </c>
      <c r="J137" s="255">
        <v>0.12189999999999999</v>
      </c>
      <c r="K137" s="30"/>
      <c r="L137" s="142"/>
    </row>
    <row r="138" spans="1:13" x14ac:dyDescent="0.25">
      <c r="A138" s="30"/>
      <c r="B138" s="30"/>
      <c r="C138" s="30"/>
      <c r="D138" s="30"/>
      <c r="E138" s="30"/>
      <c r="F138" s="30"/>
      <c r="G138" s="30"/>
      <c r="H138" s="30"/>
      <c r="I138" s="255" t="s">
        <v>369</v>
      </c>
      <c r="J138" s="147">
        <f>J136+J137</f>
        <v>4.6633474435196201</v>
      </c>
      <c r="K138" s="30"/>
      <c r="L138" s="142"/>
    </row>
    <row r="139" spans="1:13" x14ac:dyDescent="0.25">
      <c r="A139" s="30"/>
      <c r="B139" s="30"/>
      <c r="C139" s="30"/>
      <c r="D139" s="30"/>
      <c r="E139" s="30"/>
      <c r="F139" s="30"/>
      <c r="G139" s="30"/>
      <c r="H139" s="30"/>
      <c r="I139" s="255"/>
      <c r="J139" s="30"/>
      <c r="K139" s="30"/>
      <c r="L139" s="142"/>
    </row>
    <row r="140" spans="1:13" ht="25.5" x14ac:dyDescent="0.25">
      <c r="A140" s="30"/>
      <c r="B140" s="122" t="s">
        <v>43</v>
      </c>
      <c r="C140" s="123" t="s">
        <v>16</v>
      </c>
      <c r="D140" s="124" t="s">
        <v>38</v>
      </c>
      <c r="E140" s="125"/>
      <c r="F140" s="125"/>
      <c r="G140" s="125"/>
      <c r="H140" s="126"/>
      <c r="I140" s="252" t="s">
        <v>354</v>
      </c>
      <c r="J140" s="257">
        <v>622.95000000000005</v>
      </c>
      <c r="K140" s="3"/>
      <c r="L140" s="3"/>
      <c r="M140" s="30"/>
    </row>
    <row r="141" spans="1:13" ht="15.75" customHeight="1" x14ac:dyDescent="0.25">
      <c r="A141" s="30"/>
      <c r="B141" s="127"/>
      <c r="C141" s="127"/>
      <c r="F141" s="326" t="s">
        <v>358</v>
      </c>
      <c r="G141" s="326"/>
      <c r="H141" s="327" t="s">
        <v>100</v>
      </c>
      <c r="I141" s="327"/>
      <c r="J141" s="327" t="s">
        <v>359</v>
      </c>
      <c r="K141" s="144"/>
      <c r="L141" s="30"/>
      <c r="M141" s="30"/>
    </row>
    <row r="142" spans="1:13" ht="15.75" customHeight="1" x14ac:dyDescent="0.25">
      <c r="A142" s="30"/>
      <c r="B142" s="127"/>
      <c r="C142" s="127"/>
      <c r="D142" s="128" t="s">
        <v>346</v>
      </c>
      <c r="E142" s="127" t="s">
        <v>3</v>
      </c>
      <c r="F142" s="127" t="s">
        <v>360</v>
      </c>
      <c r="G142" s="129" t="s">
        <v>361</v>
      </c>
      <c r="H142" s="129" t="s">
        <v>362</v>
      </c>
      <c r="I142" s="129" t="s">
        <v>363</v>
      </c>
      <c r="J142" s="327"/>
      <c r="K142" s="30"/>
      <c r="L142" s="30"/>
      <c r="M142" s="30"/>
    </row>
    <row r="143" spans="1:13" x14ac:dyDescent="0.25">
      <c r="A143" s="30"/>
      <c r="B143" s="130" t="s">
        <v>72</v>
      </c>
      <c r="C143" s="130" t="s">
        <v>338</v>
      </c>
      <c r="D143" s="138" t="s">
        <v>339</v>
      </c>
      <c r="E143" s="256">
        <v>1</v>
      </c>
      <c r="F143" s="235">
        <v>1</v>
      </c>
      <c r="G143" s="249">
        <v>0</v>
      </c>
      <c r="H143" s="253">
        <v>238.2253</v>
      </c>
      <c r="I143" s="253">
        <v>88.8904</v>
      </c>
      <c r="J143" s="253">
        <f>H143*E143</f>
        <v>238.2253</v>
      </c>
      <c r="K143" s="30"/>
      <c r="L143" s="30"/>
      <c r="M143" s="30"/>
    </row>
    <row r="144" spans="1:13" x14ac:dyDescent="0.25">
      <c r="A144" s="30"/>
      <c r="B144" s="130"/>
      <c r="C144" s="130"/>
      <c r="D144" s="251"/>
      <c r="E144" s="129"/>
      <c r="F144" s="132"/>
      <c r="G144" s="132"/>
      <c r="H144" s="253"/>
      <c r="I144" s="255" t="s">
        <v>364</v>
      </c>
      <c r="J144" s="255">
        <f>SUM(J143:J143)</f>
        <v>238.2253</v>
      </c>
      <c r="K144" s="30"/>
      <c r="L144" s="30"/>
      <c r="M144" s="30"/>
    </row>
    <row r="145" spans="1:13" ht="26.45" customHeight="1" x14ac:dyDescent="0.25">
      <c r="A145" s="30"/>
      <c r="B145" s="127"/>
      <c r="C145" s="127"/>
      <c r="D145" s="128" t="s">
        <v>81</v>
      </c>
      <c r="E145" s="127" t="s">
        <v>3</v>
      </c>
      <c r="F145" s="127" t="s">
        <v>2</v>
      </c>
      <c r="G145" s="129" t="s">
        <v>100</v>
      </c>
      <c r="H145" s="129"/>
      <c r="I145" s="30"/>
      <c r="J145" s="129" t="s">
        <v>359</v>
      </c>
      <c r="K145" s="30"/>
      <c r="L145" s="30"/>
      <c r="M145" s="30"/>
    </row>
    <row r="146" spans="1:13" x14ac:dyDescent="0.25">
      <c r="A146" s="30"/>
      <c r="B146" s="130" t="s">
        <v>72</v>
      </c>
      <c r="C146" s="130" t="s">
        <v>341</v>
      </c>
      <c r="D146" s="138" t="s">
        <v>340</v>
      </c>
      <c r="E146" s="256">
        <v>1.8</v>
      </c>
      <c r="F146" s="132" t="s">
        <v>58</v>
      </c>
      <c r="G146" s="249">
        <v>19.555800000000001</v>
      </c>
      <c r="H146" s="139"/>
      <c r="I146" s="30"/>
      <c r="J146" s="144">
        <f>G146*E146</f>
        <v>35.20044</v>
      </c>
      <c r="K146" s="254"/>
      <c r="L146" s="30"/>
      <c r="M146" s="30"/>
    </row>
    <row r="147" spans="1:13" x14ac:dyDescent="0.25">
      <c r="A147" s="30"/>
      <c r="B147" s="30"/>
      <c r="C147" s="30"/>
      <c r="D147" s="30"/>
      <c r="E147" s="30"/>
      <c r="F147" s="30"/>
      <c r="G147" s="132"/>
      <c r="H147" s="139"/>
      <c r="I147" s="255" t="s">
        <v>365</v>
      </c>
      <c r="J147" s="255">
        <f>J146</f>
        <v>35.20044</v>
      </c>
      <c r="K147" s="254"/>
      <c r="L147" s="30"/>
    </row>
    <row r="148" spans="1:13" x14ac:dyDescent="0.25">
      <c r="A148" s="30"/>
      <c r="B148" s="30"/>
      <c r="C148" s="30"/>
      <c r="D148" s="30"/>
      <c r="E148" s="30"/>
      <c r="F148" s="30"/>
      <c r="G148" s="132"/>
      <c r="H148" s="139"/>
      <c r="I148" s="255" t="s">
        <v>366</v>
      </c>
      <c r="J148" s="255">
        <f>J147+J144</f>
        <v>273.42574000000002</v>
      </c>
      <c r="K148" s="254"/>
      <c r="L148" s="30"/>
    </row>
    <row r="149" spans="1:13" x14ac:dyDescent="0.25">
      <c r="A149" s="30"/>
      <c r="B149" s="30"/>
      <c r="C149" s="30"/>
      <c r="D149" s="30"/>
      <c r="E149" s="30"/>
      <c r="F149" s="30"/>
      <c r="G149" s="30"/>
      <c r="H149" s="30"/>
      <c r="I149" s="255" t="s">
        <v>367</v>
      </c>
      <c r="J149" s="255">
        <f>J148/J140</f>
        <v>0.43892084436953205</v>
      </c>
      <c r="K149" s="30"/>
      <c r="L149" s="142"/>
    </row>
    <row r="150" spans="1:13" x14ac:dyDescent="0.25">
      <c r="A150" s="30"/>
      <c r="B150" s="30"/>
      <c r="C150" s="30"/>
      <c r="D150" s="30"/>
      <c r="E150" s="30"/>
      <c r="F150" s="30"/>
      <c r="G150" s="30"/>
      <c r="H150" s="30"/>
      <c r="I150" s="255" t="s">
        <v>368</v>
      </c>
      <c r="J150" s="255">
        <v>1.0999999999999999E-2</v>
      </c>
      <c r="K150" s="30"/>
      <c r="L150" s="142"/>
    </row>
    <row r="151" spans="1:13" x14ac:dyDescent="0.25">
      <c r="A151" s="30"/>
      <c r="B151" s="30"/>
      <c r="C151" s="30"/>
      <c r="D151" s="30"/>
      <c r="E151" s="30"/>
      <c r="F151" s="30"/>
      <c r="G151" s="30"/>
      <c r="H151" s="30"/>
      <c r="I151" s="255" t="s">
        <v>369</v>
      </c>
      <c r="J151" s="147">
        <f>J149+J150</f>
        <v>0.44992084436953206</v>
      </c>
      <c r="K151" s="30"/>
      <c r="L151" s="142"/>
    </row>
    <row r="152" spans="1:13" x14ac:dyDescent="0.25">
      <c r="A152" s="30"/>
      <c r="B152" s="30"/>
      <c r="C152" s="30"/>
      <c r="D152" s="30"/>
      <c r="E152" s="30"/>
      <c r="F152" s="30"/>
      <c r="G152" s="30"/>
      <c r="H152" s="30"/>
      <c r="I152" s="255"/>
      <c r="J152" s="30"/>
      <c r="K152" s="30"/>
      <c r="L152" s="142"/>
    </row>
    <row r="153" spans="1:13" ht="25.5" x14ac:dyDescent="0.25">
      <c r="A153" s="30"/>
      <c r="B153" s="122" t="s">
        <v>44</v>
      </c>
      <c r="C153" s="123" t="s">
        <v>16</v>
      </c>
      <c r="D153" s="124" t="s">
        <v>39</v>
      </c>
      <c r="E153" s="125"/>
      <c r="F153" s="125"/>
      <c r="G153" s="125"/>
      <c r="H153" s="126"/>
      <c r="I153" s="252" t="s">
        <v>354</v>
      </c>
      <c r="J153" s="257">
        <v>110.13</v>
      </c>
      <c r="K153" s="3"/>
      <c r="L153" s="3"/>
      <c r="M153" s="30"/>
    </row>
    <row r="154" spans="1:13" ht="15.75" customHeight="1" x14ac:dyDescent="0.25">
      <c r="A154" s="30"/>
      <c r="B154" s="127"/>
      <c r="C154" s="127"/>
      <c r="F154" s="326" t="s">
        <v>358</v>
      </c>
      <c r="G154" s="326"/>
      <c r="H154" s="327" t="s">
        <v>100</v>
      </c>
      <c r="I154" s="327"/>
      <c r="J154" s="327" t="s">
        <v>359</v>
      </c>
      <c r="K154" s="144"/>
      <c r="L154" s="30"/>
      <c r="M154" s="30"/>
    </row>
    <row r="155" spans="1:13" ht="15.75" customHeight="1" x14ac:dyDescent="0.25">
      <c r="A155" s="30"/>
      <c r="B155" s="127"/>
      <c r="C155" s="127"/>
      <c r="D155" s="128" t="s">
        <v>346</v>
      </c>
      <c r="E155" s="127" t="s">
        <v>3</v>
      </c>
      <c r="F155" s="127" t="s">
        <v>360</v>
      </c>
      <c r="G155" s="129" t="s">
        <v>361</v>
      </c>
      <c r="H155" s="129" t="s">
        <v>362</v>
      </c>
      <c r="I155" s="129" t="s">
        <v>363</v>
      </c>
      <c r="J155" s="327"/>
      <c r="K155" s="30"/>
      <c r="L155" s="30"/>
      <c r="M155" s="30"/>
    </row>
    <row r="156" spans="1:13" x14ac:dyDescent="0.25">
      <c r="A156" s="30"/>
      <c r="B156" s="130" t="s">
        <v>72</v>
      </c>
      <c r="C156" s="130" t="s">
        <v>338</v>
      </c>
      <c r="D156" s="138" t="s">
        <v>339</v>
      </c>
      <c r="E156" s="256">
        <v>1</v>
      </c>
      <c r="F156" s="235">
        <v>1</v>
      </c>
      <c r="G156" s="249">
        <v>0</v>
      </c>
      <c r="H156" s="253">
        <v>238.2253</v>
      </c>
      <c r="I156" s="253">
        <v>88.8904</v>
      </c>
      <c r="J156" s="253">
        <f>H156*E156</f>
        <v>238.2253</v>
      </c>
      <c r="K156" s="30"/>
      <c r="L156" s="30"/>
      <c r="M156" s="30"/>
    </row>
    <row r="157" spans="1:13" x14ac:dyDescent="0.25">
      <c r="A157" s="30"/>
      <c r="B157" s="130"/>
      <c r="C157" s="130"/>
      <c r="D157" s="251"/>
      <c r="E157" s="129"/>
      <c r="F157" s="132"/>
      <c r="G157" s="132"/>
      <c r="H157" s="253"/>
      <c r="I157" s="255" t="s">
        <v>364</v>
      </c>
      <c r="J157" s="255">
        <f>SUM(J156:J156)</f>
        <v>238.2253</v>
      </c>
      <c r="K157" s="30"/>
      <c r="L157" s="30"/>
      <c r="M157" s="30"/>
    </row>
    <row r="158" spans="1:13" ht="26.45" customHeight="1" x14ac:dyDescent="0.25">
      <c r="A158" s="30"/>
      <c r="B158" s="127"/>
      <c r="C158" s="127"/>
      <c r="D158" s="128" t="s">
        <v>81</v>
      </c>
      <c r="E158" s="127" t="s">
        <v>3</v>
      </c>
      <c r="F158" s="127" t="s">
        <v>2</v>
      </c>
      <c r="G158" s="129" t="s">
        <v>100</v>
      </c>
      <c r="H158" s="129"/>
      <c r="I158" s="30"/>
      <c r="J158" s="129" t="s">
        <v>359</v>
      </c>
      <c r="K158" s="30"/>
      <c r="L158" s="30"/>
      <c r="M158" s="30"/>
    </row>
    <row r="159" spans="1:13" x14ac:dyDescent="0.25">
      <c r="A159" s="30"/>
      <c r="B159" s="130" t="s">
        <v>72</v>
      </c>
      <c r="C159" s="130" t="s">
        <v>341</v>
      </c>
      <c r="D159" s="138" t="s">
        <v>340</v>
      </c>
      <c r="E159" s="256">
        <v>1.65</v>
      </c>
      <c r="F159" s="132" t="s">
        <v>58</v>
      </c>
      <c r="G159" s="249">
        <v>19.555800000000001</v>
      </c>
      <c r="H159" s="139"/>
      <c r="I159" s="30"/>
      <c r="J159" s="144">
        <f>G159*E159</f>
        <v>32.267070000000004</v>
      </c>
      <c r="K159" s="254"/>
      <c r="L159" s="30"/>
      <c r="M159" s="30"/>
    </row>
    <row r="160" spans="1:13" x14ac:dyDescent="0.25">
      <c r="A160" s="30"/>
      <c r="B160" s="30"/>
      <c r="C160" s="30"/>
      <c r="D160" s="30"/>
      <c r="E160" s="30"/>
      <c r="F160" s="30"/>
      <c r="G160" s="132"/>
      <c r="H160" s="139"/>
      <c r="I160" s="255" t="s">
        <v>365</v>
      </c>
      <c r="J160" s="255">
        <f>J159</f>
        <v>32.267070000000004</v>
      </c>
      <c r="K160" s="254"/>
      <c r="L160" s="30"/>
    </row>
    <row r="161" spans="1:13" x14ac:dyDescent="0.25">
      <c r="A161" s="30"/>
      <c r="B161" s="30"/>
      <c r="C161" s="30"/>
      <c r="D161" s="30"/>
      <c r="E161" s="30"/>
      <c r="F161" s="30"/>
      <c r="G161" s="132"/>
      <c r="H161" s="139"/>
      <c r="I161" s="255" t="s">
        <v>366</v>
      </c>
      <c r="J161" s="255">
        <f>J160+J157</f>
        <v>270.49236999999999</v>
      </c>
      <c r="K161" s="254"/>
      <c r="L161" s="30"/>
    </row>
    <row r="162" spans="1:13" x14ac:dyDescent="0.25">
      <c r="A162" s="30"/>
      <c r="B162" s="30"/>
      <c r="C162" s="30"/>
      <c r="D162" s="30"/>
      <c r="E162" s="30"/>
      <c r="F162" s="30"/>
      <c r="G162" s="30"/>
      <c r="H162" s="30"/>
      <c r="I162" s="255" t="s">
        <v>367</v>
      </c>
      <c r="J162" s="255">
        <f>J161/J153</f>
        <v>2.456118859529647</v>
      </c>
      <c r="K162" s="30"/>
      <c r="L162" s="142"/>
    </row>
    <row r="163" spans="1:13" x14ac:dyDescent="0.25">
      <c r="A163" s="30"/>
      <c r="B163" s="30"/>
      <c r="C163" s="30"/>
      <c r="D163" s="30"/>
      <c r="E163" s="30"/>
      <c r="F163" s="30"/>
      <c r="G163" s="30"/>
      <c r="H163" s="30"/>
      <c r="I163" s="255" t="s">
        <v>368</v>
      </c>
      <c r="J163" s="255">
        <v>6.2300000000000001E-2</v>
      </c>
      <c r="K163" s="30"/>
      <c r="L163" s="142"/>
    </row>
    <row r="164" spans="1:13" x14ac:dyDescent="0.25">
      <c r="A164" s="30"/>
      <c r="B164" s="30"/>
      <c r="C164" s="30"/>
      <c r="D164" s="30"/>
      <c r="E164" s="30"/>
      <c r="F164" s="30"/>
      <c r="G164" s="30"/>
      <c r="H164" s="30"/>
      <c r="I164" s="255" t="s">
        <v>369</v>
      </c>
      <c r="J164" s="147">
        <f>J162+J163</f>
        <v>2.5184188595296471</v>
      </c>
      <c r="K164" s="30"/>
      <c r="L164" s="142"/>
    </row>
    <row r="165" spans="1:13" x14ac:dyDescent="0.25">
      <c r="A165" s="30"/>
      <c r="B165" s="30"/>
      <c r="C165" s="30"/>
      <c r="D165" s="30"/>
      <c r="E165" s="30"/>
      <c r="F165" s="30"/>
      <c r="G165" s="30"/>
      <c r="H165" s="30"/>
      <c r="I165" s="255"/>
      <c r="J165" s="30"/>
      <c r="K165" s="30"/>
      <c r="L165" s="142"/>
    </row>
    <row r="166" spans="1:13" ht="25.5" x14ac:dyDescent="0.25">
      <c r="A166" s="30"/>
      <c r="B166" s="122" t="s">
        <v>45</v>
      </c>
      <c r="C166" s="123" t="s">
        <v>16</v>
      </c>
      <c r="D166" s="124" t="s">
        <v>40</v>
      </c>
      <c r="E166" s="125"/>
      <c r="F166" s="125"/>
      <c r="G166" s="125"/>
      <c r="H166" s="126"/>
      <c r="I166" s="252" t="s">
        <v>354</v>
      </c>
      <c r="J166" s="122">
        <v>243.82</v>
      </c>
      <c r="K166" s="3"/>
      <c r="L166" s="3"/>
      <c r="M166" s="30"/>
    </row>
    <row r="167" spans="1:13" ht="15.75" customHeight="1" x14ac:dyDescent="0.25">
      <c r="A167" s="30"/>
      <c r="B167" s="127"/>
      <c r="C167" s="127"/>
      <c r="F167" s="326" t="s">
        <v>358</v>
      </c>
      <c r="G167" s="326"/>
      <c r="H167" s="327" t="s">
        <v>100</v>
      </c>
      <c r="I167" s="327"/>
      <c r="J167" s="327" t="s">
        <v>359</v>
      </c>
      <c r="K167" s="144"/>
      <c r="L167" s="30"/>
      <c r="M167" s="30"/>
    </row>
    <row r="168" spans="1:13" ht="15.75" customHeight="1" x14ac:dyDescent="0.25">
      <c r="A168" s="30"/>
      <c r="B168" s="127"/>
      <c r="C168" s="127"/>
      <c r="D168" s="128" t="s">
        <v>346</v>
      </c>
      <c r="E168" s="127" t="s">
        <v>3</v>
      </c>
      <c r="F168" s="127" t="s">
        <v>360</v>
      </c>
      <c r="G168" s="129" t="s">
        <v>361</v>
      </c>
      <c r="H168" s="129" t="s">
        <v>362</v>
      </c>
      <c r="I168" s="129" t="s">
        <v>363</v>
      </c>
      <c r="J168" s="327"/>
      <c r="K168" s="30"/>
      <c r="L168" s="30"/>
      <c r="M168" s="30"/>
    </row>
    <row r="169" spans="1:13" ht="25.5" x14ac:dyDescent="0.25">
      <c r="A169" s="30"/>
      <c r="B169" s="130" t="s">
        <v>72</v>
      </c>
      <c r="C169" s="130" t="s">
        <v>342</v>
      </c>
      <c r="D169" s="251" t="s">
        <v>343</v>
      </c>
      <c r="E169" s="256">
        <v>1</v>
      </c>
      <c r="F169" s="235">
        <v>1</v>
      </c>
      <c r="G169" s="249">
        <v>0</v>
      </c>
      <c r="H169" s="253">
        <v>405.46690000000001</v>
      </c>
      <c r="I169" s="253">
        <v>195.1267</v>
      </c>
      <c r="J169" s="253">
        <f>H169*E169</f>
        <v>405.46690000000001</v>
      </c>
      <c r="K169" s="30"/>
      <c r="L169" s="30"/>
      <c r="M169" s="30"/>
    </row>
    <row r="170" spans="1:13" x14ac:dyDescent="0.25">
      <c r="A170" s="30"/>
      <c r="B170" s="130" t="s">
        <v>72</v>
      </c>
      <c r="C170" s="130" t="s">
        <v>338</v>
      </c>
      <c r="D170" s="138" t="s">
        <v>339</v>
      </c>
      <c r="E170" s="256">
        <v>2</v>
      </c>
      <c r="F170" s="132">
        <v>0.86</v>
      </c>
      <c r="G170" s="132">
        <v>0.14000000000000001</v>
      </c>
      <c r="H170" s="253">
        <v>238.2253</v>
      </c>
      <c r="I170" s="253">
        <v>88.8904</v>
      </c>
      <c r="J170" s="253">
        <v>434.63679999999999</v>
      </c>
      <c r="K170" s="30"/>
      <c r="L170" s="30"/>
      <c r="M170" s="30"/>
    </row>
    <row r="171" spans="1:13" x14ac:dyDescent="0.25">
      <c r="A171" s="30"/>
      <c r="B171" s="130"/>
      <c r="C171" s="130"/>
      <c r="D171" s="251"/>
      <c r="E171" s="129"/>
      <c r="F171" s="132"/>
      <c r="G171" s="132"/>
      <c r="H171" s="253"/>
      <c r="I171" s="255" t="s">
        <v>364</v>
      </c>
      <c r="J171" s="255">
        <f>SUM(J169:J170)</f>
        <v>840.1037</v>
      </c>
      <c r="K171" s="30"/>
      <c r="L171" s="30"/>
      <c r="M171" s="30"/>
    </row>
    <row r="172" spans="1:13" ht="26.45" customHeight="1" x14ac:dyDescent="0.25">
      <c r="A172" s="30"/>
      <c r="B172" s="127"/>
      <c r="C172" s="127"/>
      <c r="D172" s="128" t="s">
        <v>81</v>
      </c>
      <c r="E172" s="127" t="s">
        <v>3</v>
      </c>
      <c r="F172" s="127" t="s">
        <v>2</v>
      </c>
      <c r="G172" s="129" t="s">
        <v>100</v>
      </c>
      <c r="H172" s="129"/>
      <c r="I172" s="30"/>
      <c r="J172" s="129" t="s">
        <v>359</v>
      </c>
      <c r="K172" s="30"/>
      <c r="L172" s="30"/>
      <c r="M172" s="30"/>
    </row>
    <row r="173" spans="1:13" x14ac:dyDescent="0.25">
      <c r="A173" s="30"/>
      <c r="B173" s="130" t="s">
        <v>72</v>
      </c>
      <c r="C173" s="130" t="s">
        <v>341</v>
      </c>
      <c r="D173" s="138" t="s">
        <v>340</v>
      </c>
      <c r="E173" s="256">
        <v>2.4</v>
      </c>
      <c r="F173" s="132" t="s">
        <v>58</v>
      </c>
      <c r="G173" s="249">
        <v>19.555800000000001</v>
      </c>
      <c r="H173" s="139"/>
      <c r="I173" s="30"/>
      <c r="J173" s="144">
        <f>G173*E173</f>
        <v>46.933920000000001</v>
      </c>
      <c r="K173" s="30"/>
      <c r="L173" s="30"/>
      <c r="M173" s="30"/>
    </row>
    <row r="174" spans="1:13" x14ac:dyDescent="0.25">
      <c r="A174" s="30"/>
      <c r="B174" s="30"/>
      <c r="C174" s="30"/>
      <c r="D174" s="30"/>
      <c r="E174" s="30"/>
      <c r="F174" s="30"/>
      <c r="G174" s="132"/>
      <c r="H174" s="139"/>
      <c r="I174" s="255" t="s">
        <v>365</v>
      </c>
      <c r="J174" s="255">
        <f>SUM(J172:J173)</f>
        <v>46.933920000000001</v>
      </c>
      <c r="K174" s="30"/>
      <c r="L174" s="30"/>
    </row>
    <row r="175" spans="1:13" x14ac:dyDescent="0.25">
      <c r="A175" s="30"/>
      <c r="B175" s="30"/>
      <c r="C175" s="30"/>
      <c r="D175" s="30"/>
      <c r="E175" s="30"/>
      <c r="F175" s="30"/>
      <c r="G175" s="132"/>
      <c r="H175" s="139"/>
      <c r="I175" s="255" t="s">
        <v>366</v>
      </c>
      <c r="J175" s="255">
        <f>J171+J174</f>
        <v>887.03762000000006</v>
      </c>
      <c r="K175" s="30"/>
      <c r="L175" s="30"/>
    </row>
    <row r="176" spans="1:13" x14ac:dyDescent="0.25">
      <c r="A176" s="30"/>
      <c r="B176" s="30"/>
      <c r="C176" s="30"/>
      <c r="D176" s="30"/>
      <c r="E176" s="30"/>
      <c r="F176" s="30"/>
      <c r="G176" s="30"/>
      <c r="H176" s="30"/>
      <c r="I176" s="255" t="s">
        <v>367</v>
      </c>
      <c r="J176" s="255">
        <f>J175/J166</f>
        <v>3.638083914363055</v>
      </c>
      <c r="K176" s="30"/>
      <c r="L176" s="142"/>
    </row>
    <row r="177" spans="1:13" x14ac:dyDescent="0.25">
      <c r="A177" s="30"/>
      <c r="B177" s="30"/>
      <c r="C177" s="30"/>
      <c r="D177" s="30"/>
      <c r="E177" s="30"/>
      <c r="F177" s="30"/>
      <c r="G177" s="30"/>
      <c r="H177" s="30"/>
      <c r="I177" s="255" t="s">
        <v>368</v>
      </c>
      <c r="J177" s="255">
        <v>9.3899999999999997E-2</v>
      </c>
      <c r="K177" s="30"/>
      <c r="L177" s="142"/>
    </row>
    <row r="178" spans="1:13" x14ac:dyDescent="0.25">
      <c r="A178" s="30"/>
      <c r="B178" s="30"/>
      <c r="C178" s="30"/>
      <c r="D178" s="30"/>
      <c r="E178" s="30"/>
      <c r="F178" s="30"/>
      <c r="G178" s="30"/>
      <c r="H178" s="30"/>
      <c r="I178" s="255" t="s">
        <v>369</v>
      </c>
      <c r="J178" s="147">
        <f>J176+J177</f>
        <v>3.7319839143630551</v>
      </c>
      <c r="K178" s="30"/>
      <c r="L178" s="142"/>
    </row>
    <row r="179" spans="1:13" x14ac:dyDescent="0.25">
      <c r="A179" s="30"/>
      <c r="B179" s="30"/>
      <c r="C179" s="30"/>
      <c r="D179" s="30"/>
      <c r="E179" s="30"/>
      <c r="F179" s="30"/>
      <c r="G179" s="30"/>
      <c r="H179" s="30"/>
      <c r="I179" s="255"/>
      <c r="J179" s="30"/>
      <c r="K179" s="30"/>
      <c r="L179" s="142"/>
    </row>
    <row r="180" spans="1:13" ht="25.5" x14ac:dyDescent="0.25">
      <c r="A180" s="30"/>
      <c r="B180" s="122" t="s">
        <v>46</v>
      </c>
      <c r="C180" s="123" t="s">
        <v>16</v>
      </c>
      <c r="D180" s="124" t="s">
        <v>41</v>
      </c>
      <c r="E180" s="125"/>
      <c r="F180" s="125"/>
      <c r="G180" s="125"/>
      <c r="H180" s="126"/>
      <c r="I180" s="252" t="s">
        <v>354</v>
      </c>
      <c r="J180" s="257">
        <v>311.25</v>
      </c>
      <c r="K180" s="3"/>
      <c r="L180" s="3"/>
      <c r="M180" s="30"/>
    </row>
    <row r="181" spans="1:13" ht="15.75" customHeight="1" x14ac:dyDescent="0.25">
      <c r="A181" s="30"/>
      <c r="B181" s="127"/>
      <c r="C181" s="127"/>
      <c r="F181" s="326" t="s">
        <v>358</v>
      </c>
      <c r="G181" s="326"/>
      <c r="H181" s="327" t="s">
        <v>100</v>
      </c>
      <c r="I181" s="327"/>
      <c r="J181" s="327" t="s">
        <v>359</v>
      </c>
      <c r="K181" s="144"/>
      <c r="L181" s="30"/>
      <c r="M181" s="30"/>
    </row>
    <row r="182" spans="1:13" ht="15.75" customHeight="1" x14ac:dyDescent="0.25">
      <c r="A182" s="30"/>
      <c r="B182" s="127"/>
      <c r="C182" s="127"/>
      <c r="D182" s="128" t="s">
        <v>346</v>
      </c>
      <c r="E182" s="127" t="s">
        <v>3</v>
      </c>
      <c r="F182" s="127" t="s">
        <v>360</v>
      </c>
      <c r="G182" s="129" t="s">
        <v>361</v>
      </c>
      <c r="H182" s="129" t="s">
        <v>362</v>
      </c>
      <c r="I182" s="129" t="s">
        <v>363</v>
      </c>
      <c r="J182" s="327"/>
      <c r="K182" s="30"/>
      <c r="L182" s="30"/>
      <c r="M182" s="30"/>
    </row>
    <row r="183" spans="1:13" ht="25.5" x14ac:dyDescent="0.25">
      <c r="A183" s="30"/>
      <c r="B183" s="130" t="s">
        <v>72</v>
      </c>
      <c r="C183" s="130" t="s">
        <v>345</v>
      </c>
      <c r="D183" s="251" t="s">
        <v>344</v>
      </c>
      <c r="E183" s="256">
        <v>1.03</v>
      </c>
      <c r="F183" s="235">
        <v>1</v>
      </c>
      <c r="G183" s="249">
        <v>0</v>
      </c>
      <c r="H183" s="253">
        <v>285.20190000000002</v>
      </c>
      <c r="I183" s="253">
        <v>91.475800000000007</v>
      </c>
      <c r="J183" s="253">
        <f>H183*E183</f>
        <v>293.75795700000003</v>
      </c>
      <c r="K183" s="30"/>
      <c r="L183" s="30"/>
      <c r="M183" s="30"/>
    </row>
    <row r="184" spans="1:13" x14ac:dyDescent="0.25">
      <c r="A184" s="30"/>
      <c r="B184" s="130"/>
      <c r="C184" s="130"/>
      <c r="D184" s="251"/>
      <c r="E184" s="129"/>
      <c r="F184" s="132"/>
      <c r="G184" s="132"/>
      <c r="H184" s="253"/>
      <c r="I184" s="255" t="s">
        <v>364</v>
      </c>
      <c r="J184" s="255">
        <f>SUM(J183:J183)</f>
        <v>293.75795700000003</v>
      </c>
      <c r="K184" s="30"/>
      <c r="L184" s="30"/>
      <c r="M184" s="30"/>
    </row>
    <row r="185" spans="1:13" x14ac:dyDescent="0.25">
      <c r="A185" s="30"/>
      <c r="B185" s="30"/>
      <c r="C185" s="30"/>
      <c r="D185" s="30"/>
      <c r="E185" s="30"/>
      <c r="F185" s="30"/>
      <c r="G185" s="132"/>
      <c r="H185" s="139"/>
      <c r="I185" s="255" t="s">
        <v>366</v>
      </c>
      <c r="J185" s="255">
        <f>J184</f>
        <v>293.75795700000003</v>
      </c>
      <c r="K185" s="254"/>
      <c r="L185" s="30"/>
    </row>
    <row r="186" spans="1:13" x14ac:dyDescent="0.25">
      <c r="A186" s="30"/>
      <c r="B186" s="30"/>
      <c r="C186" s="30"/>
      <c r="D186" s="30"/>
      <c r="E186" s="30"/>
      <c r="F186" s="30"/>
      <c r="G186" s="30"/>
      <c r="H186" s="30"/>
      <c r="I186" s="255" t="s">
        <v>367</v>
      </c>
      <c r="J186" s="255">
        <f>J185/J180</f>
        <v>0.94380066506024107</v>
      </c>
      <c r="K186" s="30"/>
      <c r="L186" s="142"/>
    </row>
    <row r="187" spans="1:13" x14ac:dyDescent="0.25">
      <c r="A187" s="30"/>
      <c r="B187" s="30"/>
      <c r="C187" s="30"/>
      <c r="D187" s="30"/>
      <c r="E187" s="30"/>
      <c r="F187" s="30"/>
      <c r="G187" s="30"/>
      <c r="H187" s="30"/>
      <c r="I187" s="255" t="s">
        <v>368</v>
      </c>
      <c r="J187" s="255">
        <v>2.4400000000000002E-2</v>
      </c>
      <c r="K187" s="30"/>
      <c r="L187" s="142"/>
    </row>
    <row r="188" spans="1:13" x14ac:dyDescent="0.25">
      <c r="A188" s="30"/>
      <c r="B188" s="30"/>
      <c r="C188" s="30"/>
      <c r="D188" s="30"/>
      <c r="E188" s="30"/>
      <c r="F188" s="30"/>
      <c r="G188" s="30"/>
      <c r="H188" s="30"/>
      <c r="I188" s="255" t="s">
        <v>369</v>
      </c>
      <c r="J188" s="147">
        <f>J186+J187</f>
        <v>0.96820066506024105</v>
      </c>
      <c r="K188" s="30"/>
      <c r="L188" s="142"/>
    </row>
    <row r="189" spans="1:13" x14ac:dyDescent="0.25">
      <c r="A189" s="30"/>
      <c r="B189" s="30"/>
      <c r="C189" s="30"/>
      <c r="D189" s="30"/>
      <c r="E189" s="30"/>
      <c r="F189" s="30"/>
      <c r="G189" s="30"/>
      <c r="H189" s="30"/>
      <c r="I189" s="255"/>
      <c r="J189" s="30"/>
      <c r="K189" s="30"/>
      <c r="L189" s="142"/>
    </row>
    <row r="190" spans="1:13" ht="25.5" x14ac:dyDescent="0.25">
      <c r="A190" s="30"/>
      <c r="B190" s="122">
        <v>4.5</v>
      </c>
      <c r="C190" s="123" t="s">
        <v>16</v>
      </c>
      <c r="D190" s="124" t="s">
        <v>37</v>
      </c>
      <c r="E190" s="125"/>
      <c r="F190" s="125"/>
      <c r="G190" s="125"/>
      <c r="H190" s="126"/>
      <c r="I190" s="252" t="s">
        <v>354</v>
      </c>
      <c r="J190" s="122">
        <v>168.2</v>
      </c>
      <c r="K190" s="3"/>
      <c r="L190" s="3"/>
      <c r="M190" s="30"/>
    </row>
    <row r="191" spans="1:13" ht="15.75" customHeight="1" x14ac:dyDescent="0.25">
      <c r="A191" s="30"/>
      <c r="B191" s="127"/>
      <c r="C191" s="127"/>
      <c r="F191" s="326" t="s">
        <v>358</v>
      </c>
      <c r="G191" s="326"/>
      <c r="H191" s="327" t="s">
        <v>100</v>
      </c>
      <c r="I191" s="327"/>
      <c r="J191" s="327" t="s">
        <v>359</v>
      </c>
      <c r="K191" s="144"/>
      <c r="L191" s="30"/>
      <c r="M191" s="30"/>
    </row>
    <row r="192" spans="1:13" ht="15.75" customHeight="1" x14ac:dyDescent="0.25">
      <c r="A192" s="30"/>
      <c r="B192" s="127"/>
      <c r="C192" s="127"/>
      <c r="D192" s="128" t="s">
        <v>346</v>
      </c>
      <c r="E192" s="127" t="s">
        <v>3</v>
      </c>
      <c r="F192" s="127" t="s">
        <v>360</v>
      </c>
      <c r="G192" s="129" t="s">
        <v>361</v>
      </c>
      <c r="H192" s="129" t="s">
        <v>362</v>
      </c>
      <c r="I192" s="129" t="s">
        <v>363</v>
      </c>
      <c r="J192" s="327"/>
      <c r="K192" s="30"/>
      <c r="L192" s="30"/>
      <c r="M192" s="30"/>
    </row>
    <row r="193" spans="1:13" ht="25.5" x14ac:dyDescent="0.25">
      <c r="A193" s="30"/>
      <c r="B193" s="130" t="s">
        <v>72</v>
      </c>
      <c r="C193" s="130" t="s">
        <v>347</v>
      </c>
      <c r="D193" s="251" t="s">
        <v>117</v>
      </c>
      <c r="E193" s="256">
        <v>1</v>
      </c>
      <c r="F193" s="235">
        <v>0.9</v>
      </c>
      <c r="G193" s="249">
        <v>0.1</v>
      </c>
      <c r="H193" s="253">
        <v>319.56180000000001</v>
      </c>
      <c r="I193" s="253">
        <v>85.151499999999999</v>
      </c>
      <c r="J193" s="253">
        <v>296.12079999999997</v>
      </c>
      <c r="K193" s="30"/>
      <c r="L193" s="30"/>
      <c r="M193" s="30"/>
    </row>
    <row r="194" spans="1:13" x14ac:dyDescent="0.25">
      <c r="A194" s="30"/>
      <c r="B194" s="130" t="s">
        <v>72</v>
      </c>
      <c r="C194" s="130" t="s">
        <v>348</v>
      </c>
      <c r="D194" s="251" t="s">
        <v>349</v>
      </c>
      <c r="E194" s="256">
        <v>1</v>
      </c>
      <c r="F194" s="132">
        <v>0.52</v>
      </c>
      <c r="G194" s="132">
        <v>0.48</v>
      </c>
      <c r="H194" s="253">
        <v>4.9127999999999998</v>
      </c>
      <c r="I194" s="253">
        <v>3.4211999999999998</v>
      </c>
      <c r="J194" s="253">
        <v>4.1967999999999996</v>
      </c>
      <c r="K194" s="30"/>
      <c r="L194" s="30"/>
      <c r="M194" s="30"/>
    </row>
    <row r="195" spans="1:13" x14ac:dyDescent="0.25">
      <c r="A195" s="30"/>
      <c r="B195" s="130" t="s">
        <v>72</v>
      </c>
      <c r="C195" s="130" t="s">
        <v>350</v>
      </c>
      <c r="D195" s="251" t="s">
        <v>107</v>
      </c>
      <c r="E195" s="256">
        <v>1</v>
      </c>
      <c r="F195" s="132">
        <v>0.28999999999999998</v>
      </c>
      <c r="G195" s="132">
        <v>0.71</v>
      </c>
      <c r="H195" s="253">
        <v>283.06650000000002</v>
      </c>
      <c r="I195" s="253">
        <v>123.1104</v>
      </c>
      <c r="J195" s="253">
        <v>169.49770000000001</v>
      </c>
      <c r="K195" s="30"/>
      <c r="L195" s="30"/>
      <c r="M195" s="30"/>
    </row>
    <row r="196" spans="1:13" ht="25.5" x14ac:dyDescent="0.25">
      <c r="A196" s="30"/>
      <c r="B196" s="130" t="s">
        <v>72</v>
      </c>
      <c r="C196" s="130" t="s">
        <v>351</v>
      </c>
      <c r="D196" s="251" t="s">
        <v>111</v>
      </c>
      <c r="E196" s="256">
        <v>1</v>
      </c>
      <c r="F196" s="132">
        <v>1</v>
      </c>
      <c r="G196" s="132">
        <v>0</v>
      </c>
      <c r="H196" s="253">
        <v>193.28720000000001</v>
      </c>
      <c r="I196" s="253">
        <v>83.792000000000002</v>
      </c>
      <c r="J196" s="253">
        <f>H196*E196</f>
        <v>193.28720000000001</v>
      </c>
      <c r="K196" s="30"/>
      <c r="L196" s="30"/>
      <c r="M196" s="30"/>
    </row>
    <row r="197" spans="1:13" x14ac:dyDescent="0.25">
      <c r="A197" s="30"/>
      <c r="B197" s="130" t="s">
        <v>72</v>
      </c>
      <c r="C197" s="130" t="s">
        <v>352</v>
      </c>
      <c r="D197" s="251" t="s">
        <v>105</v>
      </c>
      <c r="E197" s="256">
        <v>1</v>
      </c>
      <c r="F197" s="132">
        <v>0.52</v>
      </c>
      <c r="G197" s="132">
        <v>0.48</v>
      </c>
      <c r="H197" s="253">
        <v>126.8049</v>
      </c>
      <c r="I197" s="253">
        <v>44.044400000000003</v>
      </c>
      <c r="J197" s="253">
        <v>87.079899999999995</v>
      </c>
      <c r="K197" s="30"/>
      <c r="L197" s="30"/>
      <c r="M197" s="30"/>
    </row>
    <row r="198" spans="1:13" x14ac:dyDescent="0.25">
      <c r="A198" s="30"/>
      <c r="B198" s="130"/>
      <c r="C198" s="130" t="s">
        <v>341</v>
      </c>
      <c r="D198" s="138" t="s">
        <v>340</v>
      </c>
      <c r="E198" s="129"/>
      <c r="F198" s="132"/>
      <c r="G198" s="132"/>
      <c r="H198" s="253"/>
      <c r="I198" s="255" t="s">
        <v>364</v>
      </c>
      <c r="J198" s="255">
        <f>SUM(J193:J197)</f>
        <v>750.18239999999992</v>
      </c>
      <c r="K198" s="30"/>
      <c r="L198" s="30"/>
      <c r="M198" s="30"/>
    </row>
    <row r="199" spans="1:13" ht="26.45" customHeight="1" x14ac:dyDescent="0.25">
      <c r="A199" s="30"/>
      <c r="B199" s="127"/>
      <c r="C199" s="127"/>
      <c r="D199" s="128" t="s">
        <v>81</v>
      </c>
      <c r="E199" s="127" t="s">
        <v>3</v>
      </c>
      <c r="F199" s="127" t="s">
        <v>2</v>
      </c>
      <c r="G199" s="129" t="s">
        <v>100</v>
      </c>
      <c r="H199" s="129"/>
      <c r="I199" s="30"/>
      <c r="J199" s="129" t="s">
        <v>359</v>
      </c>
      <c r="K199" s="30"/>
      <c r="L199" s="30"/>
      <c r="M199" s="30"/>
    </row>
    <row r="200" spans="1:13" x14ac:dyDescent="0.25">
      <c r="A200" s="30"/>
      <c r="B200" s="130" t="s">
        <v>72</v>
      </c>
      <c r="C200" s="130" t="s">
        <v>341</v>
      </c>
      <c r="D200" s="138" t="s">
        <v>340</v>
      </c>
      <c r="E200" s="256">
        <v>0.7</v>
      </c>
      <c r="F200" s="132" t="s">
        <v>58</v>
      </c>
      <c r="G200" s="249">
        <v>19.555800000000001</v>
      </c>
      <c r="H200" s="139"/>
      <c r="I200" s="30"/>
      <c r="J200" s="144">
        <f>G200*E200</f>
        <v>13.68906</v>
      </c>
      <c r="K200" s="30"/>
      <c r="L200" s="30"/>
      <c r="M200" s="30"/>
    </row>
    <row r="201" spans="1:13" x14ac:dyDescent="0.25">
      <c r="A201" s="30"/>
      <c r="B201" s="30"/>
      <c r="C201" s="30"/>
      <c r="D201" s="30"/>
      <c r="E201" s="30"/>
      <c r="F201" s="30"/>
      <c r="G201" s="132"/>
      <c r="H201" s="139"/>
      <c r="I201" s="255" t="s">
        <v>365</v>
      </c>
      <c r="J201" s="255">
        <f>SUM(J199:J200)</f>
        <v>13.68906</v>
      </c>
      <c r="K201" s="30"/>
      <c r="L201" s="30"/>
    </row>
    <row r="202" spans="1:13" x14ac:dyDescent="0.25">
      <c r="A202" s="30"/>
      <c r="B202" s="30"/>
      <c r="C202" s="30"/>
      <c r="D202" s="30"/>
      <c r="E202" s="30"/>
      <c r="F202" s="30"/>
      <c r="G202" s="132"/>
      <c r="H202" s="139"/>
      <c r="I202" s="255" t="s">
        <v>366</v>
      </c>
      <c r="J202" s="255">
        <f>J198+J201</f>
        <v>763.87145999999996</v>
      </c>
      <c r="K202" s="30"/>
      <c r="L202" s="30"/>
    </row>
    <row r="203" spans="1:13" x14ac:dyDescent="0.25">
      <c r="A203" s="30"/>
      <c r="B203" s="30"/>
      <c r="C203" s="30"/>
      <c r="D203" s="30"/>
      <c r="E203" s="30"/>
      <c r="F203" s="30"/>
      <c r="G203" s="30"/>
      <c r="H203" s="30"/>
      <c r="I203" s="255" t="s">
        <v>367</v>
      </c>
      <c r="J203" s="255">
        <f>J202/J190</f>
        <v>4.5414474435196199</v>
      </c>
      <c r="K203" s="30"/>
      <c r="L203" s="142"/>
    </row>
    <row r="204" spans="1:13" x14ac:dyDescent="0.25">
      <c r="A204" s="30"/>
      <c r="B204" s="30"/>
      <c r="C204" s="30"/>
      <c r="D204" s="30"/>
      <c r="E204" s="30"/>
      <c r="F204" s="30"/>
      <c r="G204" s="30"/>
      <c r="H204" s="30"/>
      <c r="I204" s="255" t="s">
        <v>368</v>
      </c>
      <c r="J204" s="255">
        <v>0.12189999999999999</v>
      </c>
      <c r="K204" s="30"/>
      <c r="L204" s="142"/>
    </row>
    <row r="205" spans="1:13" x14ac:dyDescent="0.25">
      <c r="A205" s="30"/>
      <c r="B205" s="30"/>
      <c r="C205" s="30"/>
      <c r="D205" s="30"/>
      <c r="E205" s="30"/>
      <c r="F205" s="30"/>
      <c r="G205" s="30"/>
      <c r="H205" s="30"/>
      <c r="I205" s="255" t="s">
        <v>369</v>
      </c>
      <c r="J205" s="147">
        <f>J203+J204</f>
        <v>4.6633474435196201</v>
      </c>
      <c r="K205" s="30"/>
      <c r="L205" s="142"/>
    </row>
    <row r="206" spans="1:13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</row>
    <row r="207" spans="1:13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</row>
    <row r="208" spans="1:13" ht="25.5" x14ac:dyDescent="0.25">
      <c r="A208" s="30"/>
      <c r="B208" s="122" t="s">
        <v>48</v>
      </c>
      <c r="C208" s="123" t="s">
        <v>16</v>
      </c>
      <c r="D208" s="124" t="s">
        <v>49</v>
      </c>
      <c r="E208" s="125"/>
      <c r="F208" s="125"/>
      <c r="G208" s="125"/>
      <c r="H208" s="126">
        <f>H211</f>
        <v>0.309999998</v>
      </c>
      <c r="I208" s="30"/>
      <c r="J208" s="30"/>
      <c r="K208" s="30"/>
      <c r="L208" s="30"/>
      <c r="M208" s="30"/>
    </row>
    <row r="209" spans="1:13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</row>
    <row r="210" spans="1:13" x14ac:dyDescent="0.25">
      <c r="A210" s="30"/>
      <c r="B210" s="30"/>
      <c r="C210" s="30"/>
      <c r="D210" s="128" t="s">
        <v>121</v>
      </c>
      <c r="E210" s="30"/>
      <c r="F210" s="30"/>
      <c r="G210" s="30"/>
      <c r="H210" s="30"/>
      <c r="I210" s="30"/>
      <c r="J210" s="30"/>
      <c r="K210" s="30"/>
      <c r="L210" s="30"/>
      <c r="M210" s="30"/>
    </row>
    <row r="211" spans="1:13" x14ac:dyDescent="0.25">
      <c r="A211" s="30"/>
      <c r="B211" s="148" t="s">
        <v>72</v>
      </c>
      <c r="C211" s="130">
        <v>4413942</v>
      </c>
      <c r="D211" s="138" t="s">
        <v>266</v>
      </c>
      <c r="E211" s="129" t="s">
        <v>58</v>
      </c>
      <c r="F211" s="132">
        <v>0.2012987</v>
      </c>
      <c r="G211" s="149">
        <v>1.54</v>
      </c>
      <c r="H211" s="139">
        <f>F211*G211</f>
        <v>0.309999998</v>
      </c>
      <c r="I211" s="30"/>
      <c r="J211" s="30"/>
      <c r="K211" s="30"/>
      <c r="L211" s="30"/>
      <c r="M211" s="30"/>
    </row>
    <row r="212" spans="1:13" x14ac:dyDescent="0.25">
      <c r="A212" s="30"/>
      <c r="B212" s="148"/>
      <c r="C212" s="130"/>
      <c r="D212" s="138"/>
      <c r="E212" s="129"/>
      <c r="F212" s="132"/>
      <c r="G212" s="149"/>
      <c r="H212" s="139"/>
      <c r="I212" s="30"/>
      <c r="J212" s="30"/>
      <c r="K212" s="30"/>
      <c r="L212" s="30"/>
      <c r="M212" s="30"/>
    </row>
    <row r="213" spans="1:13" x14ac:dyDescent="0.25">
      <c r="A213" s="30"/>
      <c r="B213" s="148"/>
      <c r="C213" s="130"/>
      <c r="D213" s="138"/>
      <c r="E213" s="129"/>
      <c r="F213" s="132"/>
      <c r="G213" s="149"/>
      <c r="H213" s="139"/>
      <c r="I213" s="30"/>
      <c r="J213" s="30"/>
      <c r="K213" s="30"/>
      <c r="L213" s="30"/>
      <c r="M213" s="30"/>
    </row>
    <row r="214" spans="1:13" ht="18.75" x14ac:dyDescent="0.3">
      <c r="A214" s="30"/>
      <c r="B214" s="340" t="s">
        <v>315</v>
      </c>
      <c r="C214" s="340"/>
      <c r="D214" s="340"/>
      <c r="E214" s="340"/>
      <c r="F214" s="340"/>
      <c r="G214" s="340"/>
      <c r="H214" s="340"/>
      <c r="I214" s="340"/>
      <c r="J214" s="30"/>
      <c r="K214" s="30"/>
      <c r="L214" s="30"/>
      <c r="M214" s="30"/>
    </row>
    <row r="215" spans="1:13" x14ac:dyDescent="0.25">
      <c r="A215" s="30"/>
      <c r="B215" s="341" t="s">
        <v>316</v>
      </c>
      <c r="C215" s="341"/>
      <c r="D215" s="341"/>
      <c r="E215" s="341"/>
      <c r="F215" s="341"/>
      <c r="G215" s="341"/>
      <c r="H215" s="341"/>
      <c r="I215" s="341"/>
      <c r="J215" s="30"/>
      <c r="K215" s="30"/>
      <c r="L215" s="30"/>
      <c r="M215" s="30"/>
    </row>
    <row r="216" spans="1:13" ht="31.5" x14ac:dyDescent="0.25">
      <c r="A216" s="30"/>
      <c r="B216" s="217" t="s">
        <v>1</v>
      </c>
      <c r="C216" s="217" t="s">
        <v>306</v>
      </c>
      <c r="D216" s="217" t="s">
        <v>307</v>
      </c>
      <c r="E216" s="217" t="s">
        <v>2</v>
      </c>
      <c r="F216" s="218" t="s">
        <v>296</v>
      </c>
      <c r="G216" s="217" t="s">
        <v>297</v>
      </c>
      <c r="H216" s="218" t="s">
        <v>317</v>
      </c>
      <c r="I216" s="217" t="s">
        <v>258</v>
      </c>
      <c r="J216" s="30"/>
      <c r="K216" s="30"/>
      <c r="L216" s="30"/>
      <c r="M216" s="30"/>
    </row>
    <row r="217" spans="1:13" x14ac:dyDescent="0.25">
      <c r="A217" s="30"/>
      <c r="B217" s="236" t="s">
        <v>318</v>
      </c>
      <c r="C217" s="237" t="s">
        <v>319</v>
      </c>
      <c r="D217" s="238" t="s">
        <v>179</v>
      </c>
      <c r="E217" s="239" t="s">
        <v>320</v>
      </c>
      <c r="F217" s="240">
        <f>H236</f>
        <v>94.17</v>
      </c>
      <c r="G217" s="236">
        <v>2.5</v>
      </c>
      <c r="H217" s="241">
        <v>1</v>
      </c>
      <c r="I217" s="240">
        <f>ROUND(F217*G217*H217,2)</f>
        <v>235.43</v>
      </c>
      <c r="J217" s="30"/>
      <c r="K217" s="30"/>
      <c r="L217" s="30"/>
      <c r="M217" s="30"/>
    </row>
    <row r="218" spans="1:13" x14ac:dyDescent="0.25">
      <c r="A218" s="30"/>
      <c r="B218" s="242" t="s">
        <v>321</v>
      </c>
      <c r="C218" s="237" t="s">
        <v>319</v>
      </c>
      <c r="D218" s="243" t="s">
        <v>179</v>
      </c>
      <c r="E218" s="239" t="s">
        <v>320</v>
      </c>
      <c r="F218" s="240">
        <f>H243</f>
        <v>221.7</v>
      </c>
      <c r="G218" s="236">
        <v>2.5</v>
      </c>
      <c r="H218" s="241">
        <v>1</v>
      </c>
      <c r="I218" s="240">
        <f t="shared" ref="I218:I220" si="2">ROUND(F218*G218*H218,2)</f>
        <v>554.25</v>
      </c>
      <c r="J218" s="30"/>
      <c r="K218" s="30"/>
      <c r="L218" s="30"/>
      <c r="M218" s="30"/>
    </row>
    <row r="219" spans="1:13" x14ac:dyDescent="0.25">
      <c r="A219" s="30"/>
      <c r="B219" s="242" t="s">
        <v>322</v>
      </c>
      <c r="C219" s="237" t="s">
        <v>319</v>
      </c>
      <c r="D219" s="243" t="s">
        <v>179</v>
      </c>
      <c r="E219" s="239" t="s">
        <v>320</v>
      </c>
      <c r="F219" s="240">
        <f>H250</f>
        <v>443.4</v>
      </c>
      <c r="G219" s="236">
        <v>0.25</v>
      </c>
      <c r="H219" s="241">
        <v>1</v>
      </c>
      <c r="I219" s="240">
        <f t="shared" si="2"/>
        <v>110.85</v>
      </c>
      <c r="J219" s="30"/>
      <c r="K219" s="30"/>
      <c r="L219" s="30"/>
      <c r="M219" s="30"/>
    </row>
    <row r="220" spans="1:13" x14ac:dyDescent="0.25">
      <c r="A220" s="30"/>
      <c r="B220" s="242" t="s">
        <v>323</v>
      </c>
      <c r="C220" s="237" t="s">
        <v>319</v>
      </c>
      <c r="D220" s="239" t="s">
        <v>179</v>
      </c>
      <c r="E220" s="239" t="s">
        <v>320</v>
      </c>
      <c r="F220" s="240">
        <f>H264</f>
        <v>66.509999999999991</v>
      </c>
      <c r="G220" s="244">
        <v>2.5</v>
      </c>
      <c r="H220" s="241">
        <v>1</v>
      </c>
      <c r="I220" s="240">
        <f t="shared" si="2"/>
        <v>166.28</v>
      </c>
      <c r="J220" s="30"/>
      <c r="K220" s="30"/>
      <c r="L220" s="30"/>
      <c r="M220" s="30"/>
    </row>
    <row r="221" spans="1:13" ht="30" x14ac:dyDescent="0.25">
      <c r="A221" s="30"/>
      <c r="H221" s="245" t="s">
        <v>324</v>
      </c>
      <c r="I221" s="246">
        <f>SUM(I217:I220)</f>
        <v>1066.8100000000002</v>
      </c>
      <c r="J221" s="30"/>
      <c r="K221" s="30"/>
      <c r="L221" s="30"/>
      <c r="M221" s="30"/>
    </row>
    <row r="222" spans="1:13" x14ac:dyDescent="0.25">
      <c r="A222" s="30"/>
      <c r="H222" s="247"/>
      <c r="I222" s="248"/>
      <c r="J222" s="30"/>
      <c r="K222" s="30"/>
      <c r="L222" s="30"/>
      <c r="M222" s="30"/>
    </row>
    <row r="223" spans="1:13" x14ac:dyDescent="0.25">
      <c r="A223" s="30"/>
      <c r="B223" s="341" t="s">
        <v>325</v>
      </c>
      <c r="C223" s="341"/>
      <c r="D223" s="341"/>
      <c r="E223" s="341"/>
      <c r="F223" s="341"/>
      <c r="G223" s="341"/>
      <c r="H223" s="341"/>
      <c r="I223" s="341"/>
      <c r="J223" s="30"/>
      <c r="K223" s="30"/>
      <c r="L223" s="30"/>
      <c r="M223" s="30"/>
    </row>
    <row r="224" spans="1:13" ht="31.5" x14ac:dyDescent="0.25">
      <c r="A224" s="30"/>
      <c r="B224" s="217" t="s">
        <v>1</v>
      </c>
      <c r="C224" s="217" t="s">
        <v>306</v>
      </c>
      <c r="D224" s="217" t="s">
        <v>307</v>
      </c>
      <c r="E224" s="217" t="s">
        <v>2</v>
      </c>
      <c r="F224" s="218" t="s">
        <v>296</v>
      </c>
      <c r="G224" s="217" t="s">
        <v>297</v>
      </c>
      <c r="H224" s="218" t="s">
        <v>326</v>
      </c>
      <c r="I224" s="217" t="s">
        <v>258</v>
      </c>
      <c r="J224" s="30"/>
      <c r="K224" s="30"/>
      <c r="L224" s="30"/>
      <c r="M224" s="30"/>
    </row>
    <row r="225" spans="1:13" x14ac:dyDescent="0.25">
      <c r="A225" s="30"/>
      <c r="B225" s="242" t="s">
        <v>327</v>
      </c>
      <c r="C225" s="237" t="s">
        <v>319</v>
      </c>
      <c r="D225" s="238" t="s">
        <v>179</v>
      </c>
      <c r="E225" s="239" t="s">
        <v>320</v>
      </c>
      <c r="F225" s="240">
        <f>H257</f>
        <v>77.600000000000009</v>
      </c>
      <c r="G225" s="236">
        <v>5</v>
      </c>
      <c r="H225" s="241">
        <v>1</v>
      </c>
      <c r="I225" s="240">
        <f>ROUND(F225*G225*H225,2)</f>
        <v>388</v>
      </c>
      <c r="J225" s="30"/>
      <c r="K225" s="30"/>
      <c r="L225" s="30"/>
      <c r="M225" s="30"/>
    </row>
    <row r="226" spans="1:13" ht="30" x14ac:dyDescent="0.25">
      <c r="A226" s="30"/>
      <c r="G226" s="219"/>
      <c r="H226" s="245" t="s">
        <v>324</v>
      </c>
      <c r="I226" s="246">
        <f>SUM(I222:I225)</f>
        <v>388</v>
      </c>
      <c r="J226" s="30"/>
      <c r="K226" s="30"/>
      <c r="L226" s="30"/>
      <c r="M226" s="30"/>
    </row>
    <row r="227" spans="1:13" x14ac:dyDescent="0.25">
      <c r="A227" s="30"/>
      <c r="G227" s="219"/>
      <c r="H227" s="245" t="s">
        <v>328</v>
      </c>
      <c r="I227" s="246">
        <f>I221+I226</f>
        <v>1454.8100000000002</v>
      </c>
      <c r="J227" s="30"/>
      <c r="K227" s="30"/>
      <c r="L227" s="30"/>
      <c r="M227" s="30"/>
    </row>
    <row r="228" spans="1:13" x14ac:dyDescent="0.25">
      <c r="A228" s="30"/>
      <c r="G228" s="219"/>
      <c r="H228" s="219"/>
      <c r="I228" s="219"/>
      <c r="J228" s="30"/>
      <c r="K228" s="30"/>
      <c r="L228" s="30"/>
      <c r="M228" s="30"/>
    </row>
    <row r="229" spans="1:13" x14ac:dyDescent="0.25">
      <c r="A229" s="30"/>
      <c r="G229" s="219"/>
      <c r="H229" s="219"/>
      <c r="I229" s="220"/>
      <c r="J229" s="30"/>
      <c r="K229" s="30"/>
      <c r="L229" s="30"/>
      <c r="M229" s="30"/>
    </row>
    <row r="230" spans="1:13" x14ac:dyDescent="0.25">
      <c r="A230" s="30"/>
      <c r="G230" s="219"/>
      <c r="H230" s="219"/>
      <c r="I230" s="220"/>
      <c r="J230" s="30"/>
      <c r="K230" s="30"/>
      <c r="L230" s="30"/>
      <c r="M230" s="30"/>
    </row>
    <row r="231" spans="1:13" ht="25.5" x14ac:dyDescent="0.25">
      <c r="A231" s="30"/>
      <c r="B231" s="122" t="s">
        <v>292</v>
      </c>
      <c r="C231" s="123" t="s">
        <v>16</v>
      </c>
      <c r="D231" s="123" t="s">
        <v>329</v>
      </c>
      <c r="E231" s="125"/>
      <c r="F231" s="125"/>
      <c r="G231" s="125"/>
      <c r="H231" s="126"/>
      <c r="I231" s="126">
        <f>H236</f>
        <v>94.17</v>
      </c>
      <c r="J231" s="30"/>
      <c r="K231" s="30"/>
      <c r="L231" s="30"/>
      <c r="M231" s="30"/>
    </row>
    <row r="232" spans="1:13" ht="31.5" x14ac:dyDescent="0.25">
      <c r="A232" s="30"/>
      <c r="B232" s="216" t="s">
        <v>306</v>
      </c>
      <c r="C232" s="210" t="s">
        <v>307</v>
      </c>
      <c r="D232" s="210" t="s">
        <v>1</v>
      </c>
      <c r="E232" s="210" t="s">
        <v>2</v>
      </c>
      <c r="F232" s="216" t="s">
        <v>296</v>
      </c>
      <c r="G232" s="210" t="s">
        <v>297</v>
      </c>
      <c r="H232" s="328" t="s">
        <v>258</v>
      </c>
      <c r="I232" s="329"/>
      <c r="J232" s="30"/>
      <c r="K232" s="30"/>
    </row>
    <row r="233" spans="1:13" ht="31.5" x14ac:dyDescent="0.25">
      <c r="A233" s="30"/>
      <c r="B233" s="208" t="s">
        <v>82</v>
      </c>
      <c r="C233" s="209">
        <v>88249</v>
      </c>
      <c r="D233" s="207" t="s">
        <v>298</v>
      </c>
      <c r="E233" s="210" t="s">
        <v>299</v>
      </c>
      <c r="F233" s="250">
        <v>126.64</v>
      </c>
      <c r="G233" s="212">
        <v>6.0000000000000001E-3</v>
      </c>
      <c r="H233" s="330">
        <f>ROUND(F233*G233,2)</f>
        <v>0.76</v>
      </c>
      <c r="I233" s="331"/>
      <c r="J233" s="30"/>
      <c r="K233" s="30"/>
    </row>
    <row r="234" spans="1:13" ht="31.5" x14ac:dyDescent="0.25">
      <c r="B234" s="208" t="s">
        <v>82</v>
      </c>
      <c r="C234" s="209">
        <v>88321</v>
      </c>
      <c r="D234" s="213" t="s">
        <v>300</v>
      </c>
      <c r="E234" s="210" t="s">
        <v>299</v>
      </c>
      <c r="F234" s="211">
        <v>31.6</v>
      </c>
      <c r="G234" s="212">
        <v>2.3E-2</v>
      </c>
      <c r="H234" s="330">
        <f>ROUND(F234*G234,2)</f>
        <v>0.73</v>
      </c>
      <c r="I234" s="331"/>
    </row>
    <row r="235" spans="1:13" ht="31.5" x14ac:dyDescent="0.25">
      <c r="B235" s="208" t="s">
        <v>302</v>
      </c>
      <c r="C235" s="214" t="s">
        <v>303</v>
      </c>
      <c r="D235" s="213" t="s">
        <v>301</v>
      </c>
      <c r="E235" s="210" t="s">
        <v>299</v>
      </c>
      <c r="F235" s="211">
        <v>92.68</v>
      </c>
      <c r="G235" s="215">
        <v>1</v>
      </c>
      <c r="H235" s="330">
        <f>ROUND(F235*G235,2)</f>
        <v>92.68</v>
      </c>
      <c r="I235" s="331"/>
    </row>
    <row r="236" spans="1:13" x14ac:dyDescent="0.25">
      <c r="G236" s="332" t="s">
        <v>132</v>
      </c>
      <c r="H236" s="334">
        <f>H233+H234+H235</f>
        <v>94.17</v>
      </c>
      <c r="I236" s="335"/>
    </row>
    <row r="237" spans="1:13" x14ac:dyDescent="0.25">
      <c r="G237" s="333"/>
      <c r="H237" s="336"/>
      <c r="I237" s="337"/>
    </row>
    <row r="239" spans="1:13" ht="25.5" x14ac:dyDescent="0.25">
      <c r="A239" s="30"/>
      <c r="B239" s="122" t="s">
        <v>292</v>
      </c>
      <c r="C239" s="123" t="s">
        <v>16</v>
      </c>
      <c r="D239" s="123" t="s">
        <v>330</v>
      </c>
      <c r="E239" s="125"/>
      <c r="F239" s="125"/>
      <c r="G239" s="125"/>
      <c r="H239" s="126"/>
      <c r="I239" s="126">
        <f>H243</f>
        <v>221.7</v>
      </c>
      <c r="J239" s="30"/>
      <c r="K239" s="30"/>
      <c r="L239" s="30"/>
      <c r="M239" s="30"/>
    </row>
    <row r="240" spans="1:13" ht="31.5" x14ac:dyDescent="0.25">
      <c r="B240" s="216" t="s">
        <v>306</v>
      </c>
      <c r="C240" s="210" t="s">
        <v>307</v>
      </c>
      <c r="D240" s="210" t="s">
        <v>1</v>
      </c>
      <c r="E240" s="210" t="s">
        <v>2</v>
      </c>
      <c r="F240" s="216" t="s">
        <v>296</v>
      </c>
      <c r="G240" s="210" t="s">
        <v>297</v>
      </c>
      <c r="H240" s="328" t="s">
        <v>258</v>
      </c>
      <c r="I240" s="329"/>
    </row>
    <row r="241" spans="1:13" ht="31.5" x14ac:dyDescent="0.25">
      <c r="B241" s="208" t="s">
        <v>82</v>
      </c>
      <c r="C241" s="209">
        <v>88249</v>
      </c>
      <c r="D241" s="207" t="s">
        <v>308</v>
      </c>
      <c r="E241" s="210" t="s">
        <v>299</v>
      </c>
      <c r="F241" s="250">
        <v>35.6</v>
      </c>
      <c r="G241" s="215">
        <v>4</v>
      </c>
      <c r="H241" s="330">
        <f>ROUND(F241*G241,2)</f>
        <v>142.4</v>
      </c>
      <c r="I241" s="331"/>
    </row>
    <row r="242" spans="1:13" ht="31.5" x14ac:dyDescent="0.25">
      <c r="B242" s="208" t="s">
        <v>82</v>
      </c>
      <c r="C242" s="209">
        <v>88321</v>
      </c>
      <c r="D242" s="213" t="s">
        <v>309</v>
      </c>
      <c r="E242" s="210" t="s">
        <v>299</v>
      </c>
      <c r="F242" s="250">
        <v>39.65</v>
      </c>
      <c r="G242" s="215">
        <v>2</v>
      </c>
      <c r="H242" s="330">
        <f>ROUND(F242*G242,2)</f>
        <v>79.3</v>
      </c>
      <c r="I242" s="331"/>
    </row>
    <row r="243" spans="1:13" x14ac:dyDescent="0.25">
      <c r="G243" s="333" t="s">
        <v>132</v>
      </c>
      <c r="H243" s="344">
        <f>SUM(H240:I242)</f>
        <v>221.7</v>
      </c>
      <c r="I243" s="344"/>
    </row>
    <row r="244" spans="1:13" x14ac:dyDescent="0.25">
      <c r="G244" s="333"/>
      <c r="H244" s="344"/>
      <c r="I244" s="344"/>
    </row>
    <row r="245" spans="1:13" x14ac:dyDescent="0.25">
      <c r="G245" s="219"/>
      <c r="H245" s="220"/>
      <c r="I245" s="220"/>
    </row>
    <row r="246" spans="1:13" ht="25.5" x14ac:dyDescent="0.25">
      <c r="A246" s="30"/>
      <c r="B246" s="122" t="s">
        <v>293</v>
      </c>
      <c r="C246" s="123" t="s">
        <v>16</v>
      </c>
      <c r="D246" s="123" t="s">
        <v>331</v>
      </c>
      <c r="E246" s="125"/>
      <c r="F246" s="125"/>
      <c r="G246" s="125"/>
      <c r="H246" s="126"/>
      <c r="I246" s="126"/>
      <c r="J246" s="30"/>
      <c r="K246" s="30"/>
      <c r="L246" s="30"/>
      <c r="M246" s="30"/>
    </row>
    <row r="247" spans="1:13" ht="31.5" x14ac:dyDescent="0.25">
      <c r="B247" s="216" t="s">
        <v>306</v>
      </c>
      <c r="C247" s="217" t="s">
        <v>307</v>
      </c>
      <c r="D247" s="217" t="s">
        <v>1</v>
      </c>
      <c r="E247" s="217" t="s">
        <v>2</v>
      </c>
      <c r="F247" s="218" t="s">
        <v>296</v>
      </c>
      <c r="G247" s="217" t="s">
        <v>297</v>
      </c>
      <c r="H247" s="342" t="s">
        <v>258</v>
      </c>
      <c r="I247" s="343"/>
    </row>
    <row r="248" spans="1:13" ht="31.5" x14ac:dyDescent="0.25">
      <c r="B248" s="208" t="s">
        <v>82</v>
      </c>
      <c r="C248" s="209">
        <v>88249</v>
      </c>
      <c r="D248" s="207" t="s">
        <v>308</v>
      </c>
      <c r="E248" s="210" t="s">
        <v>299</v>
      </c>
      <c r="F248" s="250">
        <v>35.6</v>
      </c>
      <c r="G248" s="215">
        <v>8</v>
      </c>
      <c r="H248" s="330">
        <f>ROUND(F248*G248,2)</f>
        <v>284.8</v>
      </c>
      <c r="I248" s="331"/>
    </row>
    <row r="249" spans="1:13" ht="31.5" x14ac:dyDescent="0.25">
      <c r="B249" s="208" t="s">
        <v>82</v>
      </c>
      <c r="C249" s="209">
        <v>88321</v>
      </c>
      <c r="D249" s="213" t="s">
        <v>309</v>
      </c>
      <c r="E249" s="210" t="s">
        <v>299</v>
      </c>
      <c r="F249" s="250">
        <v>39.65</v>
      </c>
      <c r="G249" s="215">
        <v>4</v>
      </c>
      <c r="H249" s="330">
        <f>ROUND(F249*G249,2)</f>
        <v>158.6</v>
      </c>
      <c r="I249" s="331"/>
    </row>
    <row r="250" spans="1:13" x14ac:dyDescent="0.25">
      <c r="G250" s="332" t="s">
        <v>132</v>
      </c>
      <c r="H250" s="334">
        <f>SUM(H247:I249)</f>
        <v>443.4</v>
      </c>
      <c r="I250" s="335"/>
    </row>
    <row r="251" spans="1:13" x14ac:dyDescent="0.25">
      <c r="G251" s="333"/>
      <c r="H251" s="336"/>
      <c r="I251" s="337"/>
    </row>
    <row r="252" spans="1:13" x14ac:dyDescent="0.25">
      <c r="G252" s="219"/>
      <c r="H252" s="220"/>
      <c r="I252" s="220"/>
    </row>
    <row r="253" spans="1:13" ht="25.5" x14ac:dyDescent="0.25">
      <c r="A253" s="30"/>
      <c r="B253" s="122" t="s">
        <v>294</v>
      </c>
      <c r="C253" s="123" t="s">
        <v>16</v>
      </c>
      <c r="D253" s="123" t="s">
        <v>332</v>
      </c>
      <c r="E253" s="125"/>
      <c r="F253" s="125"/>
      <c r="G253" s="125"/>
      <c r="H253" s="126"/>
      <c r="I253" s="126">
        <f>H257</f>
        <v>77.600000000000009</v>
      </c>
      <c r="J253" s="30"/>
      <c r="K253" s="30"/>
      <c r="L253" s="30"/>
      <c r="M253" s="30"/>
    </row>
    <row r="254" spans="1:13" ht="31.5" x14ac:dyDescent="0.25">
      <c r="B254" s="217" t="s">
        <v>306</v>
      </c>
      <c r="C254" s="217" t="s">
        <v>307</v>
      </c>
      <c r="D254" s="217" t="s">
        <v>1</v>
      </c>
      <c r="E254" s="217" t="s">
        <v>2</v>
      </c>
      <c r="F254" s="218" t="s">
        <v>296</v>
      </c>
      <c r="G254" s="217" t="s">
        <v>297</v>
      </c>
      <c r="H254" s="342" t="s">
        <v>258</v>
      </c>
      <c r="I254" s="343"/>
    </row>
    <row r="255" spans="1:13" ht="31.5" x14ac:dyDescent="0.25">
      <c r="B255" s="208" t="s">
        <v>82</v>
      </c>
      <c r="C255" s="209">
        <v>88249</v>
      </c>
      <c r="D255" s="207" t="s">
        <v>308</v>
      </c>
      <c r="E255" s="210" t="s">
        <v>299</v>
      </c>
      <c r="F255" s="250">
        <v>35.6</v>
      </c>
      <c r="G255" s="215">
        <v>1.4</v>
      </c>
      <c r="H255" s="330">
        <f>ROUND(F255*G255,2)</f>
        <v>49.84</v>
      </c>
      <c r="I255" s="331"/>
    </row>
    <row r="256" spans="1:13" ht="31.5" x14ac:dyDescent="0.25">
      <c r="B256" s="208" t="s">
        <v>82</v>
      </c>
      <c r="C256" s="209">
        <v>88321</v>
      </c>
      <c r="D256" s="213" t="s">
        <v>309</v>
      </c>
      <c r="E256" s="210" t="s">
        <v>299</v>
      </c>
      <c r="F256" s="250">
        <v>39.65</v>
      </c>
      <c r="G256" s="215">
        <v>0.7</v>
      </c>
      <c r="H256" s="330">
        <f>ROUND(F256*G256,2)</f>
        <v>27.76</v>
      </c>
      <c r="I256" s="331"/>
    </row>
    <row r="257" spans="1:13" x14ac:dyDescent="0.25">
      <c r="G257" s="332" t="s">
        <v>132</v>
      </c>
      <c r="H257" s="334">
        <f>SUM(H254:I256)</f>
        <v>77.600000000000009</v>
      </c>
      <c r="I257" s="335"/>
    </row>
    <row r="258" spans="1:13" x14ac:dyDescent="0.25">
      <c r="G258" s="333"/>
      <c r="H258" s="336"/>
      <c r="I258" s="337"/>
    </row>
    <row r="259" spans="1:13" x14ac:dyDescent="0.25">
      <c r="G259" s="219"/>
      <c r="H259" s="220"/>
      <c r="I259" s="220"/>
    </row>
    <row r="260" spans="1:13" ht="25.5" x14ac:dyDescent="0.25">
      <c r="A260" s="30"/>
      <c r="B260" s="122" t="s">
        <v>295</v>
      </c>
      <c r="C260" s="123" t="s">
        <v>16</v>
      </c>
      <c r="D260" s="123" t="s">
        <v>333</v>
      </c>
      <c r="E260" s="125"/>
      <c r="F260" s="125"/>
      <c r="G260" s="125"/>
      <c r="H260" s="126"/>
      <c r="I260" s="126">
        <f>H264</f>
        <v>66.509999999999991</v>
      </c>
      <c r="J260" s="30"/>
      <c r="K260" s="30"/>
      <c r="L260" s="30"/>
      <c r="M260" s="30"/>
    </row>
    <row r="261" spans="1:13" ht="31.5" x14ac:dyDescent="0.25">
      <c r="B261" s="217" t="s">
        <v>306</v>
      </c>
      <c r="C261" s="217" t="s">
        <v>307</v>
      </c>
      <c r="D261" s="217" t="s">
        <v>1</v>
      </c>
      <c r="E261" s="217" t="s">
        <v>2</v>
      </c>
      <c r="F261" s="218" t="s">
        <v>296</v>
      </c>
      <c r="G261" s="217" t="s">
        <v>297</v>
      </c>
      <c r="H261" s="342" t="s">
        <v>258</v>
      </c>
      <c r="I261" s="343"/>
    </row>
    <row r="262" spans="1:13" ht="31.5" x14ac:dyDescent="0.25">
      <c r="B262" s="208" t="s">
        <v>82</v>
      </c>
      <c r="C262" s="209">
        <v>88249</v>
      </c>
      <c r="D262" s="207" t="s">
        <v>308</v>
      </c>
      <c r="E262" s="210" t="s">
        <v>299</v>
      </c>
      <c r="F262" s="250">
        <v>35.6</v>
      </c>
      <c r="G262" s="215">
        <v>1.2</v>
      </c>
      <c r="H262" s="330">
        <f>ROUND(F262*G262,2)</f>
        <v>42.72</v>
      </c>
      <c r="I262" s="331"/>
    </row>
    <row r="263" spans="1:13" ht="31.5" x14ac:dyDescent="0.25">
      <c r="B263" s="208" t="s">
        <v>82</v>
      </c>
      <c r="C263" s="209">
        <v>88321</v>
      </c>
      <c r="D263" s="213" t="s">
        <v>309</v>
      </c>
      <c r="E263" s="210" t="s">
        <v>299</v>
      </c>
      <c r="F263" s="250">
        <v>39.65</v>
      </c>
      <c r="G263" s="215">
        <v>0.6</v>
      </c>
      <c r="H263" s="330">
        <f>ROUND(F263*G263,2)</f>
        <v>23.79</v>
      </c>
      <c r="I263" s="331"/>
    </row>
    <row r="264" spans="1:13" x14ac:dyDescent="0.25">
      <c r="G264" s="332" t="s">
        <v>132</v>
      </c>
      <c r="H264" s="334">
        <f>SUM(H261:I263)</f>
        <v>66.509999999999991</v>
      </c>
      <c r="I264" s="335"/>
    </row>
    <row r="265" spans="1:13" x14ac:dyDescent="0.25">
      <c r="G265" s="333"/>
      <c r="H265" s="336"/>
      <c r="I265" s="337"/>
    </row>
    <row r="266" spans="1:13" x14ac:dyDescent="0.25">
      <c r="G266" s="219"/>
      <c r="H266" s="220"/>
      <c r="I266" s="220"/>
    </row>
    <row r="267" spans="1:13" x14ac:dyDescent="0.25">
      <c r="G267" s="219"/>
      <c r="H267" s="220"/>
      <c r="I267" s="220"/>
    </row>
    <row r="268" spans="1:13" x14ac:dyDescent="0.25">
      <c r="G268" s="219"/>
      <c r="H268" s="220"/>
      <c r="I268" s="220"/>
    </row>
    <row r="269" spans="1:13" x14ac:dyDescent="0.25">
      <c r="G269" s="219"/>
      <c r="H269" s="220"/>
      <c r="I269" s="220"/>
    </row>
    <row r="270" spans="1:13" x14ac:dyDescent="0.25">
      <c r="G270" s="219"/>
      <c r="H270" s="220"/>
      <c r="I270" s="220"/>
    </row>
    <row r="271" spans="1:13" x14ac:dyDescent="0.25">
      <c r="G271" s="219"/>
      <c r="H271" s="220"/>
      <c r="I271" s="220"/>
    </row>
    <row r="272" spans="1:13" x14ac:dyDescent="0.25">
      <c r="G272" s="219"/>
      <c r="H272" s="220"/>
      <c r="I272" s="220"/>
    </row>
    <row r="273" spans="7:9" x14ac:dyDescent="0.25">
      <c r="G273" s="219"/>
      <c r="H273" s="220"/>
      <c r="I273" s="220"/>
    </row>
    <row r="274" spans="7:9" x14ac:dyDescent="0.25">
      <c r="G274" s="219"/>
      <c r="H274" s="220"/>
      <c r="I274" s="220"/>
    </row>
    <row r="275" spans="7:9" x14ac:dyDescent="0.25">
      <c r="G275" s="219"/>
      <c r="H275" s="220"/>
      <c r="I275" s="220"/>
    </row>
    <row r="276" spans="7:9" x14ac:dyDescent="0.25">
      <c r="G276" s="219"/>
      <c r="H276" s="220"/>
      <c r="I276" s="220"/>
    </row>
    <row r="277" spans="7:9" x14ac:dyDescent="0.25">
      <c r="G277" s="219"/>
      <c r="H277" s="220"/>
      <c r="I277" s="220"/>
    </row>
    <row r="278" spans="7:9" x14ac:dyDescent="0.25">
      <c r="G278" s="219"/>
      <c r="H278" s="220"/>
      <c r="I278" s="220"/>
    </row>
    <row r="279" spans="7:9" x14ac:dyDescent="0.25">
      <c r="G279" s="219"/>
      <c r="H279" s="220"/>
      <c r="I279" s="220"/>
    </row>
    <row r="280" spans="7:9" x14ac:dyDescent="0.25">
      <c r="G280" s="219"/>
      <c r="H280" s="220"/>
      <c r="I280" s="220"/>
    </row>
    <row r="281" spans="7:9" x14ac:dyDescent="0.25">
      <c r="G281" s="219"/>
      <c r="H281" s="220"/>
      <c r="I281" s="220"/>
    </row>
    <row r="282" spans="7:9" x14ac:dyDescent="0.25">
      <c r="G282" s="219"/>
      <c r="H282" s="220"/>
      <c r="I282" s="220"/>
    </row>
    <row r="283" spans="7:9" x14ac:dyDescent="0.25">
      <c r="G283" s="219"/>
      <c r="H283" s="220"/>
      <c r="I283" s="220"/>
    </row>
    <row r="284" spans="7:9" x14ac:dyDescent="0.25">
      <c r="G284" s="219"/>
      <c r="H284" s="220"/>
      <c r="I284" s="220"/>
    </row>
  </sheetData>
  <mergeCells count="61">
    <mergeCell ref="H263:I263"/>
    <mergeCell ref="G264:G265"/>
    <mergeCell ref="H264:I265"/>
    <mergeCell ref="H256:I256"/>
    <mergeCell ref="G257:G258"/>
    <mergeCell ref="H257:I258"/>
    <mergeCell ref="H261:I261"/>
    <mergeCell ref="H262:I262"/>
    <mergeCell ref="G250:G251"/>
    <mergeCell ref="H250:I251"/>
    <mergeCell ref="H232:I232"/>
    <mergeCell ref="H254:I254"/>
    <mergeCell ref="H255:I255"/>
    <mergeCell ref="G243:G244"/>
    <mergeCell ref="H243:I244"/>
    <mergeCell ref="H247:I247"/>
    <mergeCell ref="H248:I248"/>
    <mergeCell ref="H249:I249"/>
    <mergeCell ref="G236:G237"/>
    <mergeCell ref="H236:I237"/>
    <mergeCell ref="B18:H18"/>
    <mergeCell ref="B214:I214"/>
    <mergeCell ref="B215:I215"/>
    <mergeCell ref="B223:I223"/>
    <mergeCell ref="F71:G71"/>
    <mergeCell ref="H71:I71"/>
    <mergeCell ref="H240:I240"/>
    <mergeCell ref="H241:I241"/>
    <mergeCell ref="H242:I242"/>
    <mergeCell ref="H233:I233"/>
    <mergeCell ref="H234:I234"/>
    <mergeCell ref="H235:I235"/>
    <mergeCell ref="J71:J72"/>
    <mergeCell ref="F85:G85"/>
    <mergeCell ref="H85:I85"/>
    <mergeCell ref="J85:J86"/>
    <mergeCell ref="B2:K10"/>
    <mergeCell ref="F98:G98"/>
    <mergeCell ref="H98:I98"/>
    <mergeCell ref="J98:J99"/>
    <mergeCell ref="F111:G111"/>
    <mergeCell ref="H111:I111"/>
    <mergeCell ref="J111:J112"/>
    <mergeCell ref="F124:G124"/>
    <mergeCell ref="H124:I124"/>
    <mergeCell ref="J124:J125"/>
    <mergeCell ref="F141:G141"/>
    <mergeCell ref="H141:I141"/>
    <mergeCell ref="J141:J142"/>
    <mergeCell ref="F154:G154"/>
    <mergeCell ref="H154:I154"/>
    <mergeCell ref="J154:J155"/>
    <mergeCell ref="F167:G167"/>
    <mergeCell ref="H167:I167"/>
    <mergeCell ref="J167:J168"/>
    <mergeCell ref="F181:G181"/>
    <mergeCell ref="H181:I181"/>
    <mergeCell ref="J181:J182"/>
    <mergeCell ref="F191:G191"/>
    <mergeCell ref="H191:I191"/>
    <mergeCell ref="J191:J192"/>
  </mergeCells>
  <phoneticPr fontId="5" type="noConversion"/>
  <pageMargins left="0.51181102362204722" right="0.51181102362204722" top="0.78740157480314965" bottom="0.78740157480314965" header="0.31496062992125984" footer="0.31496062992125984"/>
  <pageSetup scale="63" fitToHeight="0" orientation="landscape" horizontalDpi="300" verticalDpi="360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zoomScale="60" zoomScaleNormal="80" workbookViewId="0">
      <selection activeCell="G19" sqref="G18:G19"/>
    </sheetView>
  </sheetViews>
  <sheetFormatPr defaultColWidth="11" defaultRowHeight="15.75" x14ac:dyDescent="0.25"/>
  <cols>
    <col min="3" max="3" width="50.875" customWidth="1"/>
    <col min="4" max="4" width="20.875" customWidth="1"/>
    <col min="5" max="5" width="11.875" customWidth="1"/>
    <col min="6" max="6" width="13.625" bestFit="1" customWidth="1"/>
    <col min="7" max="7" width="14.75" bestFit="1" customWidth="1"/>
    <col min="8" max="8" width="15.125" bestFit="1" customWidth="1"/>
    <col min="9" max="9" width="14.25" bestFit="1" customWidth="1"/>
    <col min="10" max="10" width="15.125" bestFit="1" customWidth="1"/>
    <col min="11" max="11" width="12.5" bestFit="1" customWidth="1"/>
  </cols>
  <sheetData>
    <row r="1" spans="2:10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2:10" ht="16.5" thickBot="1" x14ac:dyDescent="0.3">
      <c r="B2" s="30"/>
      <c r="C2" s="30"/>
      <c r="D2" s="30"/>
      <c r="E2" s="30"/>
      <c r="F2" s="30"/>
      <c r="G2" s="30"/>
      <c r="H2" s="30"/>
      <c r="I2" s="30"/>
      <c r="J2" s="30"/>
    </row>
    <row r="3" spans="2:10" x14ac:dyDescent="0.25">
      <c r="B3" s="266"/>
      <c r="C3" s="267"/>
      <c r="D3" s="267"/>
      <c r="E3" s="267"/>
      <c r="F3" s="267"/>
      <c r="G3" s="267"/>
      <c r="H3" s="267"/>
      <c r="I3" s="267"/>
      <c r="J3" s="268"/>
    </row>
    <row r="4" spans="2:10" x14ac:dyDescent="0.25">
      <c r="B4" s="269"/>
      <c r="C4" s="270"/>
      <c r="D4" s="270"/>
      <c r="E4" s="270"/>
      <c r="F4" s="270"/>
      <c r="G4" s="270"/>
      <c r="H4" s="270"/>
      <c r="I4" s="270"/>
      <c r="J4" s="271"/>
    </row>
    <row r="5" spans="2:10" x14ac:dyDescent="0.25">
      <c r="B5" s="269"/>
      <c r="C5" s="270"/>
      <c r="D5" s="270"/>
      <c r="E5" s="270"/>
      <c r="F5" s="270"/>
      <c r="G5" s="270"/>
      <c r="H5" s="270"/>
      <c r="I5" s="270"/>
      <c r="J5" s="271"/>
    </row>
    <row r="6" spans="2:10" x14ac:dyDescent="0.25">
      <c r="B6" s="269"/>
      <c r="C6" s="270"/>
      <c r="D6" s="270"/>
      <c r="E6" s="270"/>
      <c r="F6" s="270"/>
      <c r="G6" s="270"/>
      <c r="H6" s="270"/>
      <c r="I6" s="270"/>
      <c r="J6" s="271"/>
    </row>
    <row r="7" spans="2:10" x14ac:dyDescent="0.25">
      <c r="B7" s="269"/>
      <c r="C7" s="270"/>
      <c r="D7" s="270"/>
      <c r="E7" s="270"/>
      <c r="F7" s="270"/>
      <c r="G7" s="270"/>
      <c r="H7" s="270"/>
      <c r="I7" s="270"/>
      <c r="J7" s="271"/>
    </row>
    <row r="8" spans="2:10" x14ac:dyDescent="0.25">
      <c r="B8" s="269"/>
      <c r="C8" s="270"/>
      <c r="D8" s="270"/>
      <c r="E8" s="270"/>
      <c r="F8" s="270"/>
      <c r="G8" s="270"/>
      <c r="H8" s="270"/>
      <c r="I8" s="270"/>
      <c r="J8" s="271"/>
    </row>
    <row r="9" spans="2:10" ht="16.5" thickBot="1" x14ac:dyDescent="0.3">
      <c r="B9" s="269"/>
      <c r="C9" s="270"/>
      <c r="D9" s="270"/>
      <c r="E9" s="270"/>
      <c r="F9" s="270"/>
      <c r="G9" s="270"/>
      <c r="H9" s="270"/>
      <c r="I9" s="270"/>
      <c r="J9" s="271"/>
    </row>
    <row r="10" spans="2:10" ht="16.5" thickBot="1" x14ac:dyDescent="0.3">
      <c r="B10" s="293" t="s">
        <v>273</v>
      </c>
      <c r="C10" s="293"/>
      <c r="D10" s="293"/>
      <c r="E10" s="293"/>
      <c r="F10" s="293"/>
      <c r="G10" s="293"/>
      <c r="H10" s="293"/>
      <c r="I10" s="293"/>
      <c r="J10" s="293"/>
    </row>
    <row r="11" spans="2:10" ht="24.95" customHeight="1" thickBot="1" x14ac:dyDescent="0.3">
      <c r="B11" s="42" t="s">
        <v>257</v>
      </c>
      <c r="C11" s="42" t="s">
        <v>1</v>
      </c>
      <c r="D11" s="42" t="s">
        <v>258</v>
      </c>
      <c r="E11" s="42"/>
      <c r="F11" s="42" t="s">
        <v>252</v>
      </c>
      <c r="G11" s="42" t="s">
        <v>253</v>
      </c>
      <c r="H11" s="42" t="s">
        <v>254</v>
      </c>
      <c r="I11" s="42" t="s">
        <v>255</v>
      </c>
      <c r="J11" s="42" t="s">
        <v>256</v>
      </c>
    </row>
    <row r="12" spans="2:10" x14ac:dyDescent="0.25">
      <c r="B12" s="296" t="s">
        <v>9</v>
      </c>
      <c r="C12" s="297" t="s">
        <v>10</v>
      </c>
      <c r="D12" s="294">
        <f>'ORÇAMENTO GERAL'!I22</f>
        <v>55893.2</v>
      </c>
      <c r="E12" s="45" t="s">
        <v>250</v>
      </c>
      <c r="F12" s="46">
        <v>1</v>
      </c>
      <c r="G12" s="46"/>
      <c r="H12" s="46"/>
      <c r="I12" s="46"/>
      <c r="J12" s="47"/>
    </row>
    <row r="13" spans="2:10" x14ac:dyDescent="0.25">
      <c r="B13" s="291"/>
      <c r="C13" s="298"/>
      <c r="D13" s="295"/>
      <c r="E13" s="40" t="s">
        <v>251</v>
      </c>
      <c r="F13" s="41">
        <f>ROUND(D12*(F12),2)</f>
        <v>55893.2</v>
      </c>
      <c r="G13" s="41"/>
      <c r="H13" s="41"/>
      <c r="I13" s="41"/>
      <c r="J13" s="48"/>
    </row>
    <row r="14" spans="2:10" x14ac:dyDescent="0.25">
      <c r="B14" s="291" t="s">
        <v>17</v>
      </c>
      <c r="C14" s="290" t="s">
        <v>18</v>
      </c>
      <c r="D14" s="292">
        <f>'ORÇAMENTO GERAL'!I26</f>
        <v>2733.3</v>
      </c>
      <c r="E14" s="43" t="s">
        <v>250</v>
      </c>
      <c r="F14" s="44"/>
      <c r="G14" s="44">
        <v>1</v>
      </c>
      <c r="H14" s="44"/>
      <c r="I14" s="44"/>
      <c r="J14" s="49"/>
    </row>
    <row r="15" spans="2:10" x14ac:dyDescent="0.25">
      <c r="B15" s="291"/>
      <c r="C15" s="290"/>
      <c r="D15" s="292"/>
      <c r="E15" s="40" t="s">
        <v>251</v>
      </c>
      <c r="F15" s="41"/>
      <c r="G15" s="41">
        <f>ROUND(D14*G14,2)</f>
        <v>2733.3</v>
      </c>
      <c r="H15" s="41"/>
      <c r="I15" s="41"/>
      <c r="J15" s="48"/>
    </row>
    <row r="16" spans="2:10" x14ac:dyDescent="0.25">
      <c r="B16" s="291" t="s">
        <v>20</v>
      </c>
      <c r="C16" s="290" t="s">
        <v>21</v>
      </c>
      <c r="D16" s="292">
        <f>'ORÇAMENTO GERAL'!I27</f>
        <v>96291.9</v>
      </c>
      <c r="E16" s="43" t="s">
        <v>250</v>
      </c>
      <c r="F16" s="44"/>
      <c r="G16" s="44">
        <v>0.25</v>
      </c>
      <c r="H16" s="44">
        <v>0.25</v>
      </c>
      <c r="I16" s="44">
        <v>0.25</v>
      </c>
      <c r="J16" s="49">
        <v>0.25</v>
      </c>
    </row>
    <row r="17" spans="2:10" x14ac:dyDescent="0.25">
      <c r="B17" s="291"/>
      <c r="C17" s="290"/>
      <c r="D17" s="292"/>
      <c r="E17" s="40" t="s">
        <v>251</v>
      </c>
      <c r="F17" s="41"/>
      <c r="G17" s="41">
        <f>ROUND(D16*G16,2)</f>
        <v>24072.98</v>
      </c>
      <c r="H17" s="41">
        <f>D16*H16</f>
        <v>24072.974999999999</v>
      </c>
      <c r="I17" s="41">
        <f>D16*I16</f>
        <v>24072.974999999999</v>
      </c>
      <c r="J17" s="48">
        <f>D16*J16</f>
        <v>24072.974999999999</v>
      </c>
    </row>
    <row r="18" spans="2:10" x14ac:dyDescent="0.25">
      <c r="B18" s="291" t="s">
        <v>23</v>
      </c>
      <c r="C18" s="290" t="s">
        <v>24</v>
      </c>
      <c r="D18" s="292">
        <f>'ORÇAMENTO GERAL'!I28</f>
        <v>18449.3</v>
      </c>
      <c r="E18" s="43" t="s">
        <v>250</v>
      </c>
      <c r="F18" s="44"/>
      <c r="G18" s="44">
        <v>0.5</v>
      </c>
      <c r="H18" s="44"/>
      <c r="I18" s="44"/>
      <c r="J18" s="49">
        <v>0.5</v>
      </c>
    </row>
    <row r="19" spans="2:10" x14ac:dyDescent="0.25">
      <c r="B19" s="291"/>
      <c r="C19" s="290"/>
      <c r="D19" s="292"/>
      <c r="E19" s="40" t="s">
        <v>251</v>
      </c>
      <c r="F19" s="41"/>
      <c r="G19" s="41">
        <f>ROUND(D18*G18,2)</f>
        <v>9224.65</v>
      </c>
      <c r="H19" s="41"/>
      <c r="I19" s="41"/>
      <c r="J19" s="48">
        <f>D18*J18</f>
        <v>9224.65</v>
      </c>
    </row>
    <row r="20" spans="2:10" x14ac:dyDescent="0.25">
      <c r="B20" s="291" t="s">
        <v>224</v>
      </c>
      <c r="C20" s="290" t="s">
        <v>225</v>
      </c>
      <c r="D20" s="292">
        <f>'ORÇAMENTO GERAL'!I29</f>
        <v>8790.1200000000008</v>
      </c>
      <c r="E20" s="43" t="s">
        <v>250</v>
      </c>
      <c r="F20" s="44"/>
      <c r="G20" s="44">
        <v>1</v>
      </c>
      <c r="H20" s="44"/>
      <c r="I20" s="44"/>
      <c r="J20" s="49"/>
    </row>
    <row r="21" spans="2:10" x14ac:dyDescent="0.25">
      <c r="B21" s="291"/>
      <c r="C21" s="290"/>
      <c r="D21" s="292"/>
      <c r="E21" s="40" t="s">
        <v>251</v>
      </c>
      <c r="F21" s="41"/>
      <c r="G21" s="41">
        <f>ROUND(D20*G20,2)</f>
        <v>8790.1200000000008</v>
      </c>
      <c r="H21" s="41"/>
      <c r="I21" s="41"/>
      <c r="J21" s="48"/>
    </row>
    <row r="22" spans="2:10" x14ac:dyDescent="0.25">
      <c r="B22" s="291" t="s">
        <v>28</v>
      </c>
      <c r="C22" s="290" t="s">
        <v>26</v>
      </c>
      <c r="D22" s="292">
        <f>'ORÇAMENTO GERAL'!I32</f>
        <v>264061.31</v>
      </c>
      <c r="E22" s="43" t="s">
        <v>250</v>
      </c>
      <c r="F22" s="44"/>
      <c r="G22" s="44">
        <v>0.6</v>
      </c>
      <c r="H22" s="44">
        <v>0.4</v>
      </c>
      <c r="I22" s="44"/>
      <c r="J22" s="49"/>
    </row>
    <row r="23" spans="2:10" x14ac:dyDescent="0.25">
      <c r="B23" s="291"/>
      <c r="C23" s="290"/>
      <c r="D23" s="292"/>
      <c r="E23" s="40" t="s">
        <v>251</v>
      </c>
      <c r="F23" s="41"/>
      <c r="G23" s="41">
        <f>ROUND(D22*G22,2)</f>
        <v>158436.79</v>
      </c>
      <c r="H23" s="41">
        <f>D22*H22</f>
        <v>105624.524</v>
      </c>
      <c r="I23" s="41"/>
      <c r="J23" s="48"/>
    </row>
    <row r="24" spans="2:10" ht="30" customHeight="1" x14ac:dyDescent="0.25">
      <c r="B24" s="291" t="s">
        <v>31</v>
      </c>
      <c r="C24" s="290" t="s">
        <v>29</v>
      </c>
      <c r="D24" s="292">
        <f>'ORÇAMENTO GERAL'!I33</f>
        <v>112202.62</v>
      </c>
      <c r="E24" s="43" t="s">
        <v>250</v>
      </c>
      <c r="F24" s="44"/>
      <c r="G24" s="44">
        <v>1</v>
      </c>
      <c r="H24" s="44"/>
      <c r="I24" s="44"/>
      <c r="J24" s="49"/>
    </row>
    <row r="25" spans="2:10" x14ac:dyDescent="0.25">
      <c r="B25" s="291"/>
      <c r="C25" s="290"/>
      <c r="D25" s="292"/>
      <c r="E25" s="40" t="s">
        <v>251</v>
      </c>
      <c r="F25" s="41"/>
      <c r="G25" s="41">
        <f>ROUND(D24*G24,2)</f>
        <v>112202.62</v>
      </c>
      <c r="H25" s="41"/>
      <c r="I25" s="41"/>
      <c r="J25" s="48"/>
    </row>
    <row r="26" spans="2:10" x14ac:dyDescent="0.25">
      <c r="B26" s="291" t="s">
        <v>32</v>
      </c>
      <c r="C26" s="290" t="s">
        <v>35</v>
      </c>
      <c r="D26" s="292">
        <f>'ORÇAMENTO GERAL'!I34</f>
        <v>119906.09</v>
      </c>
      <c r="E26" s="43" t="s">
        <v>250</v>
      </c>
      <c r="F26" s="44"/>
      <c r="G26" s="44">
        <v>0.7</v>
      </c>
      <c r="H26" s="44">
        <v>0.3</v>
      </c>
      <c r="I26" s="44"/>
      <c r="J26" s="49"/>
    </row>
    <row r="27" spans="2:10" x14ac:dyDescent="0.25">
      <c r="B27" s="291"/>
      <c r="C27" s="290"/>
      <c r="D27" s="292"/>
      <c r="E27" s="40" t="s">
        <v>251</v>
      </c>
      <c r="F27" s="41"/>
      <c r="G27" s="41">
        <f>ROUND(G26*D26,2)</f>
        <v>83934.26</v>
      </c>
      <c r="H27" s="41">
        <f>H26*D26</f>
        <v>35971.826999999997</v>
      </c>
      <c r="I27" s="41"/>
      <c r="J27" s="48"/>
    </row>
    <row r="28" spans="2:10" x14ac:dyDescent="0.25">
      <c r="B28" s="291" t="s">
        <v>33</v>
      </c>
      <c r="C28" s="290" t="s">
        <v>36</v>
      </c>
      <c r="D28" s="292">
        <f>'ORÇAMENTO GERAL'!I35</f>
        <v>11722.66</v>
      </c>
      <c r="E28" s="43" t="s">
        <v>250</v>
      </c>
      <c r="F28" s="44"/>
      <c r="G28" s="44"/>
      <c r="H28" s="44">
        <v>0.5</v>
      </c>
      <c r="I28" s="44">
        <v>0.5</v>
      </c>
      <c r="J28" s="49"/>
    </row>
    <row r="29" spans="2:10" x14ac:dyDescent="0.25">
      <c r="B29" s="291"/>
      <c r="C29" s="290"/>
      <c r="D29" s="292"/>
      <c r="E29" s="40" t="s">
        <v>251</v>
      </c>
      <c r="F29" s="41"/>
      <c r="G29" s="41"/>
      <c r="H29" s="41">
        <f>H28*D28</f>
        <v>5861.33</v>
      </c>
      <c r="I29" s="41">
        <f>ROUND(I28*D28,2)</f>
        <v>5861.33</v>
      </c>
      <c r="J29" s="48"/>
    </row>
    <row r="30" spans="2:10" x14ac:dyDescent="0.25">
      <c r="B30" s="291" t="s">
        <v>34</v>
      </c>
      <c r="C30" s="290" t="s">
        <v>37</v>
      </c>
      <c r="D30" s="292">
        <f>'ORÇAMENTO GERAL'!I36</f>
        <v>193926.32</v>
      </c>
      <c r="E30" s="43" t="s">
        <v>250</v>
      </c>
      <c r="F30" s="44"/>
      <c r="G30" s="44"/>
      <c r="H30" s="44">
        <v>0.4</v>
      </c>
      <c r="I30" s="44">
        <v>0.6</v>
      </c>
      <c r="J30" s="49"/>
    </row>
    <row r="31" spans="2:10" x14ac:dyDescent="0.25">
      <c r="B31" s="291"/>
      <c r="C31" s="290"/>
      <c r="D31" s="292"/>
      <c r="E31" s="40" t="s">
        <v>251</v>
      </c>
      <c r="F31" s="41"/>
      <c r="G31" s="41"/>
      <c r="H31" s="41">
        <f>ROUND(H30*D30,2)</f>
        <v>77570.53</v>
      </c>
      <c r="I31" s="41">
        <f>ROUND(I30*D30,2)</f>
        <v>116355.79</v>
      </c>
      <c r="J31" s="48"/>
    </row>
    <row r="32" spans="2:10" x14ac:dyDescent="0.25">
      <c r="B32" s="291" t="s">
        <v>43</v>
      </c>
      <c r="C32" s="290" t="s">
        <v>38</v>
      </c>
      <c r="D32" s="292">
        <f>'ORÇAMENTO GERAL'!I39</f>
        <v>22400</v>
      </c>
      <c r="E32" s="43" t="s">
        <v>250</v>
      </c>
      <c r="F32" s="44"/>
      <c r="G32" s="44"/>
      <c r="H32" s="44">
        <v>1</v>
      </c>
      <c r="I32" s="44"/>
      <c r="J32" s="49"/>
    </row>
    <row r="33" spans="2:11" x14ac:dyDescent="0.25">
      <c r="B33" s="291"/>
      <c r="C33" s="290"/>
      <c r="D33" s="292"/>
      <c r="E33" s="40" t="s">
        <v>251</v>
      </c>
      <c r="F33" s="41"/>
      <c r="G33" s="41"/>
      <c r="H33" s="41">
        <f>ROUND(H32*D32,2)</f>
        <v>22400</v>
      </c>
      <c r="I33" s="41"/>
      <c r="J33" s="48"/>
    </row>
    <row r="34" spans="2:11" x14ac:dyDescent="0.25">
      <c r="B34" s="291" t="s">
        <v>44</v>
      </c>
      <c r="C34" s="290" t="s">
        <v>39</v>
      </c>
      <c r="D34" s="292">
        <f>'ORÇAMENTO GERAL'!I40</f>
        <v>25040</v>
      </c>
      <c r="E34" s="43" t="s">
        <v>250</v>
      </c>
      <c r="F34" s="44"/>
      <c r="G34" s="44"/>
      <c r="H34" s="44">
        <v>1</v>
      </c>
      <c r="I34" s="44"/>
      <c r="J34" s="49"/>
    </row>
    <row r="35" spans="2:11" x14ac:dyDescent="0.25">
      <c r="B35" s="291"/>
      <c r="C35" s="290"/>
      <c r="D35" s="292"/>
      <c r="E35" s="40" t="s">
        <v>251</v>
      </c>
      <c r="F35" s="41"/>
      <c r="G35" s="41"/>
      <c r="H35" s="41">
        <f>ROUND(H34*D34,2)</f>
        <v>25040</v>
      </c>
      <c r="I35" s="41"/>
      <c r="J35" s="48"/>
    </row>
    <row r="36" spans="2:11" x14ac:dyDescent="0.25">
      <c r="B36" s="291" t="s">
        <v>45</v>
      </c>
      <c r="C36" s="290" t="s">
        <v>40</v>
      </c>
      <c r="D36" s="292">
        <f>'ORÇAMENTO GERAL'!I41</f>
        <v>186088.87</v>
      </c>
      <c r="E36" s="43" t="s">
        <v>250</v>
      </c>
      <c r="F36" s="44"/>
      <c r="G36" s="44"/>
      <c r="H36" s="44">
        <v>0.2</v>
      </c>
      <c r="I36" s="44">
        <v>0.8</v>
      </c>
      <c r="J36" s="49"/>
    </row>
    <row r="37" spans="2:11" x14ac:dyDescent="0.25">
      <c r="B37" s="291"/>
      <c r="C37" s="290"/>
      <c r="D37" s="292"/>
      <c r="E37" s="40" t="s">
        <v>251</v>
      </c>
      <c r="F37" s="41"/>
      <c r="G37" s="41"/>
      <c r="H37" s="41">
        <f>ROUND(H36*D36,2)</f>
        <v>37217.769999999997</v>
      </c>
      <c r="I37" s="41">
        <f>ROUND(I36*D36,2)</f>
        <v>148871.1</v>
      </c>
      <c r="J37" s="48"/>
    </row>
    <row r="38" spans="2:11" ht="30" customHeight="1" x14ac:dyDescent="0.25">
      <c r="B38" s="291" t="s">
        <v>46</v>
      </c>
      <c r="C38" s="290" t="s">
        <v>41</v>
      </c>
      <c r="D38" s="292">
        <f>'ORÇAMENTO GERAL'!I42</f>
        <v>553532.84</v>
      </c>
      <c r="E38" s="43" t="s">
        <v>250</v>
      </c>
      <c r="F38" s="44"/>
      <c r="G38" s="44"/>
      <c r="H38" s="44">
        <v>0.2</v>
      </c>
      <c r="I38" s="44">
        <v>0.6</v>
      </c>
      <c r="J38" s="49">
        <v>0.2</v>
      </c>
    </row>
    <row r="39" spans="2:11" x14ac:dyDescent="0.25">
      <c r="B39" s="291"/>
      <c r="C39" s="290"/>
      <c r="D39" s="292"/>
      <c r="E39" s="40" t="s">
        <v>251</v>
      </c>
      <c r="F39" s="41"/>
      <c r="G39" s="41"/>
      <c r="H39" s="41">
        <f>ROUND(H38*D38,2)</f>
        <v>110706.57</v>
      </c>
      <c r="I39" s="41">
        <f>ROUND(I38*D38,2)</f>
        <v>332119.7</v>
      </c>
      <c r="J39" s="48">
        <f>ROUND(J38*D38,2)</f>
        <v>110706.57</v>
      </c>
    </row>
    <row r="40" spans="2:11" x14ac:dyDescent="0.25">
      <c r="B40" s="291" t="s">
        <v>47</v>
      </c>
      <c r="C40" s="290" t="s">
        <v>37</v>
      </c>
      <c r="D40" s="292">
        <f>'ORÇAMENTO GERAL'!I43</f>
        <v>193926.32</v>
      </c>
      <c r="E40" s="43" t="s">
        <v>250</v>
      </c>
      <c r="F40" s="44"/>
      <c r="G40" s="44"/>
      <c r="H40" s="44"/>
      <c r="I40" s="44">
        <v>0.7</v>
      </c>
      <c r="J40" s="49">
        <v>0.3</v>
      </c>
    </row>
    <row r="41" spans="2:11" x14ac:dyDescent="0.25">
      <c r="B41" s="291"/>
      <c r="C41" s="290"/>
      <c r="D41" s="292"/>
      <c r="E41" s="40" t="s">
        <v>251</v>
      </c>
      <c r="F41" s="41"/>
      <c r="G41" s="41"/>
      <c r="H41" s="41"/>
      <c r="I41" s="41">
        <f>ROUND(I40*D40,2)</f>
        <v>135748.42000000001</v>
      </c>
      <c r="J41" s="48">
        <f>ROUND(J40*D40,2)</f>
        <v>58177.9</v>
      </c>
    </row>
    <row r="42" spans="2:11" x14ac:dyDescent="0.25">
      <c r="B42" s="291" t="s">
        <v>48</v>
      </c>
      <c r="C42" s="290" t="s">
        <v>49</v>
      </c>
      <c r="D42" s="292">
        <f>'ORÇAMENTO GERAL'!I46</f>
        <v>15600</v>
      </c>
      <c r="E42" s="43" t="s">
        <v>250</v>
      </c>
      <c r="F42" s="44"/>
      <c r="G42" s="44"/>
      <c r="H42" s="44"/>
      <c r="I42" s="44"/>
      <c r="J42" s="49">
        <v>1</v>
      </c>
    </row>
    <row r="43" spans="2:11" x14ac:dyDescent="0.25">
      <c r="B43" s="291"/>
      <c r="C43" s="290"/>
      <c r="D43" s="292"/>
      <c r="E43" s="40" t="s">
        <v>251</v>
      </c>
      <c r="F43" s="41"/>
      <c r="G43" s="41"/>
      <c r="H43" s="41"/>
      <c r="I43" s="41"/>
      <c r="J43" s="48">
        <f>ROUND(J42*D42,2)</f>
        <v>15600</v>
      </c>
    </row>
    <row r="44" spans="2:11" s="226" customFormat="1" x14ac:dyDescent="0.25">
      <c r="B44" s="291" t="s">
        <v>291</v>
      </c>
      <c r="C44" s="290" t="str">
        <f>'ORÇAMENTO GERAL'!D49</f>
        <v>Ensaios variáveis de acordo com a extensão</v>
      </c>
      <c r="D44" s="292">
        <f>'ORÇAMENTO GERAL'!I49</f>
        <v>36989.120000000003</v>
      </c>
      <c r="E44" s="43" t="s">
        <v>250</v>
      </c>
      <c r="F44" s="44"/>
      <c r="G44" s="44">
        <v>0.25</v>
      </c>
      <c r="H44" s="44">
        <v>0.25</v>
      </c>
      <c r="I44" s="44">
        <v>0.25</v>
      </c>
      <c r="J44" s="44">
        <v>0.25</v>
      </c>
    </row>
    <row r="45" spans="2:11" x14ac:dyDescent="0.25">
      <c r="B45" s="291"/>
      <c r="C45" s="290"/>
      <c r="D45" s="292"/>
      <c r="E45" s="40" t="s">
        <v>251</v>
      </c>
      <c r="F45" s="48"/>
      <c r="G45" s="48">
        <f>ROUND(G44*$D$44,2)</f>
        <v>9247.2800000000007</v>
      </c>
      <c r="H45" s="48">
        <f>ROUND(H44*$D$44,2)</f>
        <v>9247.2800000000007</v>
      </c>
      <c r="I45" s="48">
        <f>ROUND(I44*$D$44,2)</f>
        <v>9247.2800000000007</v>
      </c>
      <c r="J45" s="48">
        <f>ROUND(J44*$D$44,2)</f>
        <v>9247.2800000000007</v>
      </c>
    </row>
    <row r="46" spans="2:11" x14ac:dyDescent="0.25">
      <c r="B46" s="291" t="s">
        <v>292</v>
      </c>
      <c r="C46" s="290" t="str">
        <f>'ORÇAMENTO GERAL'!D50</f>
        <v>Ensaios variáveis de acordo com o numero de trechos</v>
      </c>
      <c r="D46" s="292">
        <f>'ORÇAMENTO GERAL'!I50</f>
        <v>1446.03</v>
      </c>
      <c r="E46" s="43" t="s">
        <v>250</v>
      </c>
      <c r="F46" s="49"/>
      <c r="G46" s="49">
        <v>0.25</v>
      </c>
      <c r="H46" s="49">
        <v>0.25</v>
      </c>
      <c r="I46" s="49">
        <v>0.25</v>
      </c>
      <c r="J46" s="49">
        <v>0.25</v>
      </c>
    </row>
    <row r="47" spans="2:11" x14ac:dyDescent="0.25">
      <c r="B47" s="291"/>
      <c r="C47" s="290"/>
      <c r="D47" s="292"/>
      <c r="E47" s="40" t="s">
        <v>251</v>
      </c>
      <c r="F47" s="48"/>
      <c r="G47" s="48">
        <f>ROUND(G46*$D$46,2)</f>
        <v>361.51</v>
      </c>
      <c r="H47" s="48">
        <f>ROUND(H46*$D$46,2)</f>
        <v>361.51</v>
      </c>
      <c r="I47" s="48">
        <f>ROUND(I46*$D$46,2)</f>
        <v>361.51</v>
      </c>
      <c r="J47" s="48">
        <f>ROUND(J46*$D$46,2)</f>
        <v>361.51</v>
      </c>
    </row>
    <row r="48" spans="2:11" ht="22.5" customHeight="1" thickBot="1" x14ac:dyDescent="0.3">
      <c r="B48" s="50"/>
      <c r="C48" s="51"/>
      <c r="D48" s="227">
        <f>SUM(D12:D47)</f>
        <v>1919000</v>
      </c>
      <c r="E48" s="228"/>
      <c r="F48" s="227">
        <f>ROUND(F13+F15+F17+F19+F21+F23+F25+F27+F29+F31+F33+F35+F37+F39+F41+F43+F45+F47,2)</f>
        <v>55893.2</v>
      </c>
      <c r="G48" s="227">
        <f>ROUND(G13+G15+G17+G19+G21+G23+G25+G27+G29+G31+G33+G35+G37+G39+G41+G43+G45+G47,2)</f>
        <v>409003.51</v>
      </c>
      <c r="H48" s="227">
        <f t="shared" ref="H48:J48" si="0">ROUND(H13+H15+H17+H19+H21+H23+H25+H27+H29+H31+H33+H35+H37+H39+H41+H43+H45+H47,2)</f>
        <v>454074.32</v>
      </c>
      <c r="I48" s="227">
        <f t="shared" si="0"/>
        <v>772638.11</v>
      </c>
      <c r="J48" s="227">
        <f t="shared" si="0"/>
        <v>227390.89</v>
      </c>
      <c r="K48" s="3"/>
    </row>
    <row r="51" spans="6:6" x14ac:dyDescent="0.25">
      <c r="F51" s="3"/>
    </row>
  </sheetData>
  <mergeCells count="56">
    <mergeCell ref="B42:B43"/>
    <mergeCell ref="C42:C43"/>
    <mergeCell ref="B36:B37"/>
    <mergeCell ref="C36:C37"/>
    <mergeCell ref="B38:B39"/>
    <mergeCell ref="C38:C39"/>
    <mergeCell ref="B40:B41"/>
    <mergeCell ref="C40:C41"/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D36:D37"/>
    <mergeCell ref="D38:D39"/>
    <mergeCell ref="D40:D41"/>
    <mergeCell ref="D42:D43"/>
    <mergeCell ref="B12:B13"/>
    <mergeCell ref="C12:C13"/>
    <mergeCell ref="B14:B15"/>
    <mergeCell ref="C14:C15"/>
    <mergeCell ref="B16:B17"/>
    <mergeCell ref="C16:C17"/>
    <mergeCell ref="D24:D25"/>
    <mergeCell ref="D26:D27"/>
    <mergeCell ref="D28:D29"/>
    <mergeCell ref="D30:D31"/>
    <mergeCell ref="D32:D33"/>
    <mergeCell ref="D34:D35"/>
    <mergeCell ref="B10:J10"/>
    <mergeCell ref="B3:J9"/>
    <mergeCell ref="D22:D23"/>
    <mergeCell ref="D12:D13"/>
    <mergeCell ref="D14:D15"/>
    <mergeCell ref="D16:D17"/>
    <mergeCell ref="D18:D19"/>
    <mergeCell ref="D20:D21"/>
    <mergeCell ref="B18:B19"/>
    <mergeCell ref="C18:C19"/>
    <mergeCell ref="B20:B21"/>
    <mergeCell ref="C20:C21"/>
    <mergeCell ref="B22:B23"/>
    <mergeCell ref="C22:C23"/>
    <mergeCell ref="C46:C47"/>
    <mergeCell ref="B44:B45"/>
    <mergeCell ref="B46:B47"/>
    <mergeCell ref="C44:C45"/>
    <mergeCell ref="D44:D45"/>
    <mergeCell ref="D46:D47"/>
  </mergeCells>
  <phoneticPr fontId="5" type="noConversion"/>
  <pageMargins left="0.51181102362204722" right="0.51181102362204722" top="0.78740157480314965" bottom="0.78740157480314965" header="0.31496062992125984" footer="0.31496062992125984"/>
  <pageSetup paperSize="9" scale="50" fitToHeight="0" orientation="portrait" horizontalDpi="360" verticalDpi="360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view="pageBreakPreview" topLeftCell="A46" zoomScale="85" zoomScaleNormal="70" zoomScaleSheetLayoutView="85" workbookViewId="0">
      <selection activeCell="B22" sqref="B22"/>
    </sheetView>
  </sheetViews>
  <sheetFormatPr defaultColWidth="11" defaultRowHeight="15.75" x14ac:dyDescent="0.25"/>
  <cols>
    <col min="2" max="2" width="46.875" customWidth="1"/>
    <col min="3" max="3" width="23.375" customWidth="1"/>
    <col min="4" max="4" width="13.625" customWidth="1"/>
    <col min="5" max="5" width="17.625" customWidth="1"/>
    <col min="6" max="6" width="15.875" customWidth="1"/>
    <col min="7" max="7" width="9.375" customWidth="1"/>
    <col min="10" max="10" width="18.625" customWidth="1"/>
    <col min="12" max="12" width="15.5" customWidth="1"/>
    <col min="13" max="13" width="16.625" customWidth="1"/>
    <col min="14" max="14" width="11.875" bestFit="1" customWidth="1"/>
    <col min="15" max="15" width="12.625" bestFit="1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6.5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5">
      <c r="A4" s="299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1"/>
      <c r="P4" s="30"/>
      <c r="Q4" s="30"/>
    </row>
    <row r="5" spans="1:17" x14ac:dyDescent="0.25">
      <c r="A5" s="302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303"/>
      <c r="P5" s="30"/>
      <c r="Q5" s="30"/>
    </row>
    <row r="6" spans="1:17" x14ac:dyDescent="0.25">
      <c r="A6" s="302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303"/>
      <c r="P6" s="30"/>
      <c r="Q6" s="30"/>
    </row>
    <row r="7" spans="1:17" x14ac:dyDescent="0.25">
      <c r="A7" s="302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303"/>
      <c r="P7" s="30"/>
      <c r="Q7" s="30"/>
    </row>
    <row r="8" spans="1:17" x14ac:dyDescent="0.25">
      <c r="A8" s="302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303"/>
      <c r="P8" s="30"/>
      <c r="Q8" s="30"/>
    </row>
    <row r="9" spans="1:17" x14ac:dyDescent="0.25">
      <c r="A9" s="302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303"/>
      <c r="P9" s="30"/>
      <c r="Q9" s="30"/>
    </row>
    <row r="10" spans="1:17" x14ac:dyDescent="0.25">
      <c r="A10" s="302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303"/>
      <c r="P10" s="30"/>
      <c r="Q10" s="30"/>
    </row>
    <row r="11" spans="1:17" x14ac:dyDescent="0.25">
      <c r="A11" s="302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303"/>
      <c r="P11" s="30"/>
      <c r="Q11" s="30"/>
    </row>
    <row r="12" spans="1:17" ht="16.5" thickBot="1" x14ac:dyDescent="0.3">
      <c r="A12" s="304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6"/>
      <c r="P12" s="30"/>
      <c r="Q12" s="30"/>
    </row>
    <row r="13" spans="1:17" x14ac:dyDescent="0.25">
      <c r="A13" s="53" t="s">
        <v>274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4"/>
      <c r="P13" s="30"/>
      <c r="Q13" s="30"/>
    </row>
    <row r="14" spans="1:17" x14ac:dyDescent="0.25">
      <c r="A14" s="53" t="s">
        <v>275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4"/>
      <c r="P14" s="30"/>
      <c r="Q14" s="30"/>
    </row>
    <row r="15" spans="1:17" x14ac:dyDescent="0.25">
      <c r="A15" s="53" t="s">
        <v>276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4"/>
      <c r="P15" s="30"/>
      <c r="Q15" s="30"/>
    </row>
    <row r="16" spans="1:17" x14ac:dyDescent="0.25">
      <c r="A16" s="53" t="s">
        <v>277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4"/>
      <c r="P16" s="30"/>
      <c r="Q16" s="30"/>
    </row>
    <row r="17" spans="1:17" x14ac:dyDescent="0.25">
      <c r="A17" s="53" t="s">
        <v>336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4"/>
      <c r="P17" s="30"/>
      <c r="Q17" s="30"/>
    </row>
    <row r="18" spans="1:17" ht="16.5" thickBot="1" x14ac:dyDescent="0.3">
      <c r="A18" s="53" t="s">
        <v>54</v>
      </c>
      <c r="B18" s="87">
        <f>'ORÇAMENTO GERAL'!$C$17</f>
        <v>0.24229999999999999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4"/>
      <c r="P18" s="30"/>
      <c r="Q18" s="30"/>
    </row>
    <row r="19" spans="1:17" ht="16.5" thickBot="1" x14ac:dyDescent="0.3">
      <c r="A19" s="307" t="s">
        <v>278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9"/>
      <c r="P19" s="30"/>
      <c r="Q19" s="30"/>
    </row>
    <row r="20" spans="1:17" ht="20.100000000000001" customHeight="1" thickBot="1" x14ac:dyDescent="0.3">
      <c r="A20" s="311" t="s">
        <v>133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3"/>
      <c r="P20" s="30"/>
      <c r="Q20" s="30"/>
    </row>
    <row r="21" spans="1:17" x14ac:dyDescent="0.25">
      <c r="A21" s="53"/>
      <c r="B21" s="30"/>
      <c r="C21" s="60" t="s">
        <v>134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4"/>
      <c r="P21" s="30"/>
      <c r="Q21" s="30"/>
    </row>
    <row r="22" spans="1:17" x14ac:dyDescent="0.25">
      <c r="A22" s="53"/>
      <c r="B22" s="30"/>
      <c r="C22" s="30" t="s">
        <v>136</v>
      </c>
      <c r="D22" s="30"/>
      <c r="E22" s="30"/>
      <c r="F22" s="61">
        <v>13209.44</v>
      </c>
      <c r="G22" s="30" t="s">
        <v>139</v>
      </c>
      <c r="H22" s="30"/>
      <c r="I22" s="30"/>
      <c r="J22" s="30"/>
      <c r="K22" s="30"/>
      <c r="L22" s="30"/>
      <c r="M22" s="30"/>
      <c r="N22" s="30"/>
      <c r="O22" s="54"/>
      <c r="P22" s="30"/>
      <c r="Q22" s="30"/>
    </row>
    <row r="23" spans="1:17" x14ac:dyDescent="0.25">
      <c r="A23" s="53"/>
      <c r="B23" s="30"/>
      <c r="C23" s="30" t="s">
        <v>137</v>
      </c>
      <c r="D23" s="30"/>
      <c r="E23" s="30"/>
      <c r="F23" s="61">
        <v>12402.09</v>
      </c>
      <c r="G23" s="30" t="s">
        <v>139</v>
      </c>
      <c r="H23" s="30"/>
      <c r="I23" s="30"/>
      <c r="J23" s="30"/>
      <c r="K23" s="30"/>
      <c r="L23" s="30"/>
      <c r="M23" s="30"/>
      <c r="N23" s="30"/>
      <c r="O23" s="54"/>
      <c r="P23" s="30"/>
      <c r="Q23" s="30"/>
    </row>
    <row r="24" spans="1:17" x14ac:dyDescent="0.25">
      <c r="A24" s="53"/>
      <c r="B24" s="30"/>
      <c r="C24" s="30" t="s">
        <v>135</v>
      </c>
      <c r="D24" s="30"/>
      <c r="E24" s="30"/>
      <c r="F24" s="61">
        <v>2299.5700000000002</v>
      </c>
      <c r="G24" s="30" t="s">
        <v>139</v>
      </c>
      <c r="H24" s="30"/>
      <c r="I24" s="30"/>
      <c r="J24" s="30"/>
      <c r="K24" s="30"/>
      <c r="L24" s="30"/>
      <c r="M24" s="30"/>
      <c r="N24" s="30"/>
      <c r="O24" s="54"/>
      <c r="P24" s="30"/>
      <c r="Q24" s="30"/>
    </row>
    <row r="25" spans="1:17" x14ac:dyDescent="0.25">
      <c r="A25" s="53"/>
      <c r="B25" s="30"/>
      <c r="C25" s="30" t="s">
        <v>138</v>
      </c>
      <c r="D25" s="30"/>
      <c r="E25" s="30"/>
      <c r="F25" s="61"/>
      <c r="G25" s="30" t="s">
        <v>139</v>
      </c>
      <c r="H25" s="30"/>
      <c r="I25" s="30"/>
      <c r="J25" s="30"/>
      <c r="K25" s="30"/>
      <c r="L25" s="30"/>
      <c r="M25" s="30"/>
      <c r="N25" s="30"/>
      <c r="O25" s="54"/>
      <c r="P25" s="30"/>
      <c r="Q25" s="30"/>
    </row>
    <row r="26" spans="1:17" ht="16.5" thickBot="1" x14ac:dyDescent="0.3">
      <c r="A26" s="55"/>
      <c r="B26" s="56"/>
      <c r="C26" s="57" t="s">
        <v>132</v>
      </c>
      <c r="D26" s="57"/>
      <c r="E26" s="57"/>
      <c r="F26" s="58">
        <f>F22+F23+F24+F25</f>
        <v>27911.1</v>
      </c>
      <c r="G26" s="57" t="s">
        <v>139</v>
      </c>
      <c r="H26" s="56"/>
      <c r="I26" s="56"/>
      <c r="J26" s="56"/>
      <c r="K26" s="56"/>
      <c r="L26" s="56"/>
      <c r="M26" s="56"/>
      <c r="N26" s="56"/>
      <c r="O26" s="59"/>
      <c r="P26" s="30"/>
      <c r="Q26" s="30"/>
    </row>
    <row r="27" spans="1:17" ht="30" customHeight="1" thickBot="1" x14ac:dyDescent="0.3">
      <c r="A27" s="310" t="s">
        <v>0</v>
      </c>
      <c r="B27" s="310" t="s">
        <v>1</v>
      </c>
      <c r="C27" s="310" t="s">
        <v>2</v>
      </c>
      <c r="D27" s="310" t="s">
        <v>122</v>
      </c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0"/>
      <c r="Q27" s="30"/>
    </row>
    <row r="28" spans="1:17" ht="60" customHeight="1" thickBot="1" x14ac:dyDescent="0.3">
      <c r="A28" s="310"/>
      <c r="B28" s="310"/>
      <c r="C28" s="310"/>
      <c r="D28" s="86" t="s">
        <v>123</v>
      </c>
      <c r="E28" s="86" t="s">
        <v>124</v>
      </c>
      <c r="F28" s="86" t="s">
        <v>125</v>
      </c>
      <c r="G28" s="86" t="s">
        <v>126</v>
      </c>
      <c r="H28" s="86" t="s">
        <v>127</v>
      </c>
      <c r="I28" s="86" t="s">
        <v>128</v>
      </c>
      <c r="J28" s="86" t="s">
        <v>129</v>
      </c>
      <c r="K28" s="86" t="s">
        <v>130</v>
      </c>
      <c r="L28" s="86" t="s">
        <v>131</v>
      </c>
      <c r="M28" s="86" t="s">
        <v>222</v>
      </c>
      <c r="N28" s="86" t="s">
        <v>93</v>
      </c>
      <c r="O28" s="86" t="s">
        <v>132</v>
      </c>
      <c r="P28" s="30"/>
      <c r="Q28" s="30"/>
    </row>
    <row r="29" spans="1:17" ht="16.5" thickBot="1" x14ac:dyDescent="0.3">
      <c r="A29" s="62">
        <v>1</v>
      </c>
      <c r="B29" s="63" t="s">
        <v>8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4"/>
      <c r="P29" s="30"/>
      <c r="Q29" s="30"/>
    </row>
    <row r="30" spans="1:17" ht="16.5" thickBot="1" x14ac:dyDescent="0.3">
      <c r="A30" s="65" t="s">
        <v>9</v>
      </c>
      <c r="B30" s="66" t="s">
        <v>10</v>
      </c>
      <c r="C30" s="67" t="s">
        <v>25</v>
      </c>
      <c r="D30" s="68"/>
      <c r="E30" s="68"/>
      <c r="F30" s="68"/>
      <c r="G30" s="68"/>
      <c r="H30" s="68"/>
      <c r="I30" s="68"/>
      <c r="J30" s="68"/>
      <c r="K30" s="68"/>
      <c r="L30" s="68"/>
      <c r="M30" s="68">
        <v>1</v>
      </c>
      <c r="N30" s="68"/>
      <c r="O30" s="69">
        <f>M30</f>
        <v>1</v>
      </c>
      <c r="P30" s="30"/>
      <c r="Q30" s="30"/>
    </row>
    <row r="31" spans="1:17" ht="16.5" thickBot="1" x14ac:dyDescent="0.3">
      <c r="A31" s="62">
        <v>2</v>
      </c>
      <c r="B31" s="63" t="s">
        <v>12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  <c r="P31" s="30"/>
      <c r="Q31" s="30"/>
    </row>
    <row r="32" spans="1:17" ht="30" x14ac:dyDescent="0.25">
      <c r="A32" s="70" t="s">
        <v>17</v>
      </c>
      <c r="B32" s="71" t="s">
        <v>18</v>
      </c>
      <c r="C32" s="40" t="s">
        <v>30</v>
      </c>
      <c r="D32" s="72"/>
      <c r="E32" s="72">
        <v>3</v>
      </c>
      <c r="F32" s="72"/>
      <c r="G32" s="72">
        <v>2</v>
      </c>
      <c r="H32" s="72"/>
      <c r="I32" s="72"/>
      <c r="J32" s="72"/>
      <c r="K32" s="72"/>
      <c r="L32" s="72"/>
      <c r="M32" s="72">
        <v>1</v>
      </c>
      <c r="N32" s="72"/>
      <c r="O32" s="73">
        <f>E32*G32*M32</f>
        <v>6</v>
      </c>
      <c r="P32" s="30"/>
      <c r="Q32" s="30"/>
    </row>
    <row r="33" spans="1:17" x14ac:dyDescent="0.25">
      <c r="A33" s="74" t="s">
        <v>20</v>
      </c>
      <c r="B33" s="75" t="s">
        <v>21</v>
      </c>
      <c r="C33" s="40" t="s">
        <v>22</v>
      </c>
      <c r="D33" s="76"/>
      <c r="E33" s="76"/>
      <c r="F33" s="76"/>
      <c r="G33" s="76"/>
      <c r="H33" s="76"/>
      <c r="I33" s="76"/>
      <c r="J33" s="76"/>
      <c r="K33" s="76"/>
      <c r="L33" s="76"/>
      <c r="M33" s="76">
        <v>5</v>
      </c>
      <c r="N33" s="76"/>
      <c r="O33" s="77">
        <f>M33</f>
        <v>5</v>
      </c>
      <c r="P33" s="30"/>
      <c r="Q33" s="30"/>
    </row>
    <row r="34" spans="1:17" ht="30" customHeight="1" x14ac:dyDescent="0.25">
      <c r="A34" s="74" t="s">
        <v>23</v>
      </c>
      <c r="B34" s="75" t="s">
        <v>24</v>
      </c>
      <c r="C34" s="40" t="s">
        <v>25</v>
      </c>
      <c r="D34" s="76"/>
      <c r="E34" s="76"/>
      <c r="F34" s="76"/>
      <c r="G34" s="76"/>
      <c r="H34" s="76"/>
      <c r="I34" s="76"/>
      <c r="J34" s="76"/>
      <c r="K34" s="76"/>
      <c r="L34" s="76"/>
      <c r="M34" s="76">
        <v>1</v>
      </c>
      <c r="N34" s="76"/>
      <c r="O34" s="77">
        <f>M34</f>
        <v>1</v>
      </c>
      <c r="P34" s="30"/>
      <c r="Q34" s="30"/>
    </row>
    <row r="35" spans="1:17" ht="16.5" thickBot="1" x14ac:dyDescent="0.3">
      <c r="A35" s="78" t="s">
        <v>224</v>
      </c>
      <c r="B35" s="75" t="s">
        <v>225</v>
      </c>
      <c r="C35" s="40" t="s">
        <v>30</v>
      </c>
      <c r="D35" s="76">
        <v>3</v>
      </c>
      <c r="E35" s="76">
        <v>6</v>
      </c>
      <c r="F35" s="76"/>
      <c r="G35" s="76"/>
      <c r="H35" s="76"/>
      <c r="I35" s="76"/>
      <c r="J35" s="76"/>
      <c r="K35" s="76"/>
      <c r="L35" s="76"/>
      <c r="M35" s="76">
        <v>1</v>
      </c>
      <c r="N35" s="76"/>
      <c r="O35" s="77">
        <f>D35*E35*M35</f>
        <v>18</v>
      </c>
      <c r="P35" s="30"/>
      <c r="Q35" s="30"/>
    </row>
    <row r="36" spans="1:17" ht="16.5" thickBot="1" x14ac:dyDescent="0.3">
      <c r="A36" s="62">
        <v>3</v>
      </c>
      <c r="B36" s="63" t="s">
        <v>13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4"/>
      <c r="P36" s="30"/>
      <c r="Q36" s="30"/>
    </row>
    <row r="37" spans="1:17" ht="30" x14ac:dyDescent="0.25">
      <c r="A37" s="70" t="s">
        <v>28</v>
      </c>
      <c r="B37" s="71" t="s">
        <v>26</v>
      </c>
      <c r="C37" s="79" t="s">
        <v>27</v>
      </c>
      <c r="D37" s="72"/>
      <c r="E37" s="72"/>
      <c r="F37" s="72"/>
      <c r="G37" s="72"/>
      <c r="H37" s="72"/>
      <c r="I37" s="72">
        <v>33493.32</v>
      </c>
      <c r="J37" s="72">
        <v>1.2</v>
      </c>
      <c r="K37" s="72" t="s">
        <v>223</v>
      </c>
      <c r="L37" s="72"/>
      <c r="M37" s="72"/>
      <c r="N37" s="72"/>
      <c r="O37" s="73">
        <f>I37*J37</f>
        <v>40191.983999999997</v>
      </c>
      <c r="P37" s="30"/>
      <c r="Q37" s="30"/>
    </row>
    <row r="38" spans="1:17" ht="45" x14ac:dyDescent="0.25">
      <c r="A38" s="74" t="s">
        <v>31</v>
      </c>
      <c r="B38" s="75" t="s">
        <v>29</v>
      </c>
      <c r="C38" s="40" t="s">
        <v>30</v>
      </c>
      <c r="D38" s="76">
        <v>6</v>
      </c>
      <c r="E38" s="76">
        <v>27911.1</v>
      </c>
      <c r="F38" s="76"/>
      <c r="G38" s="76"/>
      <c r="H38" s="76"/>
      <c r="I38" s="76"/>
      <c r="J38" s="76"/>
      <c r="K38" s="76"/>
      <c r="L38" s="76"/>
      <c r="M38" s="76"/>
      <c r="N38" s="76"/>
      <c r="O38" s="77">
        <f>D38*E38</f>
        <v>167466.59999999998</v>
      </c>
      <c r="P38" s="30"/>
      <c r="Q38" s="30"/>
    </row>
    <row r="39" spans="1:17" ht="16.5" thickBot="1" x14ac:dyDescent="0.3">
      <c r="A39" s="74" t="s">
        <v>32</v>
      </c>
      <c r="B39" s="75" t="s">
        <v>35</v>
      </c>
      <c r="C39" s="40" t="s">
        <v>27</v>
      </c>
      <c r="D39" s="76">
        <v>6</v>
      </c>
      <c r="E39" s="76">
        <v>27911.1</v>
      </c>
      <c r="F39" s="76">
        <v>0.2</v>
      </c>
      <c r="G39" s="76"/>
      <c r="H39" s="76"/>
      <c r="I39" s="76"/>
      <c r="J39" s="76"/>
      <c r="K39" s="76"/>
      <c r="L39" s="76"/>
      <c r="M39" s="76"/>
      <c r="N39" s="76"/>
      <c r="O39" s="77">
        <f>D39*E39*F39</f>
        <v>33493.32</v>
      </c>
      <c r="P39" s="30"/>
      <c r="Q39" s="30"/>
    </row>
    <row r="40" spans="1:17" ht="29.1" customHeight="1" thickBot="1" x14ac:dyDescent="0.3">
      <c r="A40" s="74" t="s">
        <v>33</v>
      </c>
      <c r="B40" s="80" t="s">
        <v>267</v>
      </c>
      <c r="C40" s="40" t="s">
        <v>30</v>
      </c>
      <c r="D40" s="76">
        <v>6</v>
      </c>
      <c r="E40" s="76">
        <v>27911.1</v>
      </c>
      <c r="F40" s="76"/>
      <c r="G40" s="76"/>
      <c r="H40" s="76"/>
      <c r="I40" s="76"/>
      <c r="J40" s="76"/>
      <c r="K40" s="76"/>
      <c r="L40" s="76"/>
      <c r="M40" s="76"/>
      <c r="N40" s="76"/>
      <c r="O40" s="77">
        <f>D40*E40</f>
        <v>167466.59999999998</v>
      </c>
      <c r="P40" s="30"/>
      <c r="Q40" s="30"/>
    </row>
    <row r="41" spans="1:17" ht="30.75" thickBot="1" x14ac:dyDescent="0.3">
      <c r="A41" s="74" t="s">
        <v>34</v>
      </c>
      <c r="B41" s="75" t="s">
        <v>37</v>
      </c>
      <c r="C41" s="40" t="s">
        <v>27</v>
      </c>
      <c r="D41" s="76">
        <v>6</v>
      </c>
      <c r="E41" s="76">
        <v>27911.1</v>
      </c>
      <c r="F41" s="76">
        <v>0.2</v>
      </c>
      <c r="G41" s="76"/>
      <c r="H41" s="76"/>
      <c r="I41" s="76"/>
      <c r="J41" s="76"/>
      <c r="K41" s="76"/>
      <c r="L41" s="76"/>
      <c r="M41" s="76"/>
      <c r="N41" s="76"/>
      <c r="O41" s="77">
        <f>D41*E41*F41</f>
        <v>33493.32</v>
      </c>
      <c r="P41" s="30"/>
      <c r="Q41" s="30"/>
    </row>
    <row r="42" spans="1:17" ht="16.5" thickBot="1" x14ac:dyDescent="0.3">
      <c r="A42" s="62">
        <v>4</v>
      </c>
      <c r="B42" s="63" t="s">
        <v>14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4"/>
      <c r="P42" s="30"/>
      <c r="Q42" s="30"/>
    </row>
    <row r="43" spans="1:17" ht="30" x14ac:dyDescent="0.25">
      <c r="A43" s="70" t="s">
        <v>43</v>
      </c>
      <c r="B43" s="71" t="s">
        <v>38</v>
      </c>
      <c r="C43" s="79" t="s">
        <v>30</v>
      </c>
      <c r="D43" s="72">
        <v>100</v>
      </c>
      <c r="E43" s="72">
        <v>100</v>
      </c>
      <c r="F43" s="72"/>
      <c r="G43" s="72"/>
      <c r="H43" s="72">
        <f>D43*E43</f>
        <v>10000</v>
      </c>
      <c r="I43" s="72"/>
      <c r="J43" s="72"/>
      <c r="K43" s="72"/>
      <c r="L43" s="72"/>
      <c r="M43" s="72">
        <v>4</v>
      </c>
      <c r="N43" s="72"/>
      <c r="O43" s="73">
        <f>M43*H43</f>
        <v>40000</v>
      </c>
      <c r="P43" s="30"/>
      <c r="Q43" s="30"/>
    </row>
    <row r="44" spans="1:17" x14ac:dyDescent="0.25">
      <c r="A44" s="74" t="s">
        <v>44</v>
      </c>
      <c r="B44" s="75" t="s">
        <v>39</v>
      </c>
      <c r="C44" s="40" t="s">
        <v>27</v>
      </c>
      <c r="D44" s="76">
        <v>100</v>
      </c>
      <c r="E44" s="76">
        <v>100</v>
      </c>
      <c r="F44" s="76">
        <v>0.2</v>
      </c>
      <c r="G44" s="76"/>
      <c r="H44" s="76"/>
      <c r="I44" s="76"/>
      <c r="J44" s="76"/>
      <c r="K44" s="76"/>
      <c r="L44" s="76"/>
      <c r="M44" s="76">
        <v>4</v>
      </c>
      <c r="N44" s="76"/>
      <c r="O44" s="77">
        <f>D44*E44*F44*M44</f>
        <v>8000</v>
      </c>
      <c r="P44" s="30"/>
      <c r="Q44" s="30"/>
    </row>
    <row r="45" spans="1:17" x14ac:dyDescent="0.25">
      <c r="A45" s="74" t="s">
        <v>45</v>
      </c>
      <c r="B45" s="75" t="s">
        <v>40</v>
      </c>
      <c r="C45" s="40" t="s">
        <v>27</v>
      </c>
      <c r="D45" s="76">
        <v>6</v>
      </c>
      <c r="E45" s="76">
        <v>27911.1</v>
      </c>
      <c r="F45" s="76">
        <v>0.2</v>
      </c>
      <c r="G45" s="76"/>
      <c r="H45" s="76"/>
      <c r="I45" s="76"/>
      <c r="J45" s="76">
        <v>1.2</v>
      </c>
      <c r="K45" s="76"/>
      <c r="L45" s="76"/>
      <c r="M45" s="76"/>
      <c r="N45" s="76"/>
      <c r="O45" s="77">
        <f>D45*E45*F45*J45</f>
        <v>40191.983999999997</v>
      </c>
      <c r="P45" s="30"/>
      <c r="Q45" s="30"/>
    </row>
    <row r="46" spans="1:17" ht="30" x14ac:dyDescent="0.25">
      <c r="A46" s="74" t="s">
        <v>46</v>
      </c>
      <c r="B46" s="75" t="s">
        <v>41</v>
      </c>
      <c r="C46" s="40" t="s">
        <v>42</v>
      </c>
      <c r="D46" s="76"/>
      <c r="E46" s="76"/>
      <c r="F46" s="76"/>
      <c r="G46" s="76"/>
      <c r="H46" s="76"/>
      <c r="I46" s="76">
        <v>33493.32</v>
      </c>
      <c r="J46" s="76">
        <v>1.2</v>
      </c>
      <c r="K46" s="76"/>
      <c r="L46" s="76">
        <v>1.4</v>
      </c>
      <c r="M46" s="76">
        <v>8.1300000000000008</v>
      </c>
      <c r="N46" s="76"/>
      <c r="O46" s="77">
        <f>I46*J46*L46*M46</f>
        <v>457465.16188799997</v>
      </c>
      <c r="P46" s="30"/>
      <c r="Q46" s="30"/>
    </row>
    <row r="47" spans="1:17" ht="30.75" thickBot="1" x14ac:dyDescent="0.3">
      <c r="A47" s="74" t="s">
        <v>47</v>
      </c>
      <c r="B47" s="75" t="s">
        <v>37</v>
      </c>
      <c r="C47" s="40" t="s">
        <v>27</v>
      </c>
      <c r="D47" s="76">
        <v>6</v>
      </c>
      <c r="E47" s="76">
        <v>27911.1</v>
      </c>
      <c r="F47" s="76">
        <v>0.2</v>
      </c>
      <c r="G47" s="76"/>
      <c r="H47" s="76"/>
      <c r="I47" s="76"/>
      <c r="J47" s="76"/>
      <c r="K47" s="76"/>
      <c r="L47" s="76"/>
      <c r="M47" s="76"/>
      <c r="N47" s="76"/>
      <c r="O47" s="77">
        <f>D47*E47*F47</f>
        <v>33493.32</v>
      </c>
      <c r="P47" s="30"/>
      <c r="Q47" s="30"/>
    </row>
    <row r="48" spans="1:17" ht="16.5" thickBot="1" x14ac:dyDescent="0.3">
      <c r="A48" s="62">
        <v>5</v>
      </c>
      <c r="B48" s="63" t="s">
        <v>15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4"/>
      <c r="P48" s="30"/>
      <c r="Q48" s="30"/>
    </row>
    <row r="49" spans="1:17" ht="16.5" thickBot="1" x14ac:dyDescent="0.3">
      <c r="A49" s="81" t="s">
        <v>48</v>
      </c>
      <c r="B49" s="82" t="s">
        <v>49</v>
      </c>
      <c r="C49" s="83" t="s">
        <v>30</v>
      </c>
      <c r="D49" s="84">
        <v>100</v>
      </c>
      <c r="E49" s="84">
        <v>100</v>
      </c>
      <c r="F49" s="84"/>
      <c r="G49" s="84"/>
      <c r="H49" s="84"/>
      <c r="I49" s="84"/>
      <c r="J49" s="84"/>
      <c r="K49" s="84"/>
      <c r="L49" s="84"/>
      <c r="M49" s="84">
        <v>4</v>
      </c>
      <c r="N49" s="84"/>
      <c r="O49" s="85">
        <f>D49*E49*M49</f>
        <v>40000</v>
      </c>
      <c r="P49" s="30"/>
      <c r="Q49" s="30"/>
    </row>
    <row r="50" spans="1:17" ht="16.5" thickBot="1" x14ac:dyDescent="0.3">
      <c r="A50" s="62">
        <v>6</v>
      </c>
      <c r="B50" s="63" t="s">
        <v>15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4"/>
      <c r="P50" s="30"/>
      <c r="Q50" s="30"/>
    </row>
    <row r="51" spans="1:17" ht="16.5" thickBot="1" x14ac:dyDescent="0.3">
      <c r="A51" s="81" t="s">
        <v>291</v>
      </c>
      <c r="B51" s="20" t="s">
        <v>286</v>
      </c>
      <c r="C51" s="83" t="s">
        <v>181</v>
      </c>
      <c r="D51" s="83"/>
      <c r="E51" s="84">
        <f>27911.1/1000</f>
        <v>27.911099999999998</v>
      </c>
      <c r="F51" s="84"/>
      <c r="G51" s="84" t="s">
        <v>310</v>
      </c>
      <c r="H51" s="84"/>
      <c r="I51" s="84"/>
      <c r="J51" s="84"/>
      <c r="K51" s="84"/>
      <c r="L51" s="84"/>
      <c r="M51" s="84">
        <v>1</v>
      </c>
      <c r="N51" s="84"/>
      <c r="O51" s="85">
        <f>ROUND(M51*E51,2)</f>
        <v>27.91</v>
      </c>
      <c r="P51" s="30"/>
      <c r="Q51" s="30"/>
    </row>
    <row r="52" spans="1:17" ht="16.5" thickBot="1" x14ac:dyDescent="0.3">
      <c r="A52" s="81" t="s">
        <v>292</v>
      </c>
      <c r="B52" s="20" t="s">
        <v>287</v>
      </c>
      <c r="C52" s="83" t="s">
        <v>181</v>
      </c>
      <c r="D52" s="83"/>
      <c r="E52" s="84">
        <f>27911.1/1000</f>
        <v>27.911099999999998</v>
      </c>
      <c r="F52" s="84"/>
      <c r="G52" s="84" t="s">
        <v>310</v>
      </c>
      <c r="H52" s="84"/>
      <c r="I52" s="84"/>
      <c r="J52" s="84"/>
      <c r="K52" s="84"/>
      <c r="L52" s="84"/>
      <c r="M52" s="84">
        <v>1</v>
      </c>
      <c r="N52" s="84"/>
      <c r="O52" s="85">
        <f>ROUND(M52*E52,2)</f>
        <v>27.91</v>
      </c>
      <c r="P52" s="30"/>
      <c r="Q52" s="30"/>
    </row>
    <row r="53" spans="1:17" ht="16.5" thickBot="1" x14ac:dyDescent="0.3">
      <c r="A53" s="81" t="s">
        <v>293</v>
      </c>
      <c r="B53" s="20" t="s">
        <v>288</v>
      </c>
      <c r="C53" s="83" t="s">
        <v>181</v>
      </c>
      <c r="D53" s="83"/>
      <c r="E53" s="84">
        <f>27911.1/1000</f>
        <v>27.911099999999998</v>
      </c>
      <c r="F53" s="84"/>
      <c r="G53" s="84" t="s">
        <v>310</v>
      </c>
      <c r="H53" s="84"/>
      <c r="I53" s="84"/>
      <c r="J53" s="84"/>
      <c r="K53" s="84"/>
      <c r="L53" s="84"/>
      <c r="M53" s="84">
        <v>1</v>
      </c>
      <c r="N53" s="84"/>
      <c r="O53" s="85">
        <f>ROUND(M53*E53,2)</f>
        <v>27.91</v>
      </c>
      <c r="P53" s="30"/>
      <c r="Q53" s="30"/>
    </row>
    <row r="54" spans="1:17" ht="16.5" thickBot="1" x14ac:dyDescent="0.3">
      <c r="A54" s="81" t="s">
        <v>294</v>
      </c>
      <c r="B54" s="20" t="s">
        <v>290</v>
      </c>
      <c r="C54" s="83" t="s">
        <v>313</v>
      </c>
      <c r="D54" s="83"/>
      <c r="E54" s="84">
        <v>3</v>
      </c>
      <c r="F54" s="84"/>
      <c r="G54" s="84" t="s">
        <v>314</v>
      </c>
      <c r="H54" s="84"/>
      <c r="I54" s="84"/>
      <c r="J54" s="84"/>
      <c r="K54" s="84"/>
      <c r="L54" s="84"/>
      <c r="M54" s="84">
        <v>1</v>
      </c>
      <c r="N54" s="84"/>
      <c r="O54" s="85">
        <f>ROUND(M54*E54,2)</f>
        <v>3</v>
      </c>
      <c r="P54" s="30"/>
      <c r="Q54" s="30"/>
    </row>
    <row r="55" spans="1:17" ht="16.5" thickBot="1" x14ac:dyDescent="0.3">
      <c r="A55" s="81" t="s">
        <v>295</v>
      </c>
      <c r="B55" s="20" t="s">
        <v>289</v>
      </c>
      <c r="C55" s="83" t="s">
        <v>181</v>
      </c>
      <c r="D55" s="83"/>
      <c r="E55" s="84">
        <f>27911.1/1000</f>
        <v>27.911099999999998</v>
      </c>
      <c r="F55" s="84"/>
      <c r="G55" s="84" t="s">
        <v>310</v>
      </c>
      <c r="H55" s="84"/>
      <c r="I55" s="84"/>
      <c r="J55" s="84"/>
      <c r="K55" s="84"/>
      <c r="L55" s="84"/>
      <c r="M55" s="84">
        <v>1</v>
      </c>
      <c r="N55" s="84"/>
      <c r="O55" s="85">
        <f>ROUND(M55*E55,2)</f>
        <v>27.91</v>
      </c>
      <c r="P55" s="30"/>
      <c r="Q55" s="30"/>
    </row>
  </sheetData>
  <mergeCells count="7">
    <mergeCell ref="A4:O12"/>
    <mergeCell ref="A19:O19"/>
    <mergeCell ref="D27:O27"/>
    <mergeCell ref="A27:A28"/>
    <mergeCell ref="B27:B28"/>
    <mergeCell ref="C27:C28"/>
    <mergeCell ref="A20:O20"/>
  </mergeCells>
  <phoneticPr fontId="5" type="noConversion"/>
  <pageMargins left="0.9055118110236221" right="0.31496062992125984" top="0.78740157480314965" bottom="0.78740157480314965" header="0.31496062992125984" footer="0.31496062992125984"/>
  <pageSetup paperSize="9" scale="46" orientation="landscape" horizontalDpi="360" verticalDpi="360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view="pageBreakPreview" topLeftCell="A43" zoomScale="115" zoomScaleNormal="100" zoomScaleSheetLayoutView="115" workbookViewId="0">
      <selection activeCell="D15" sqref="D15"/>
    </sheetView>
  </sheetViews>
  <sheetFormatPr defaultColWidth="11" defaultRowHeight="15.75" x14ac:dyDescent="0.25"/>
  <cols>
    <col min="4" max="4" width="40.875" customWidth="1"/>
    <col min="6" max="6" width="12.375" bestFit="1" customWidth="1"/>
    <col min="7" max="7" width="17.375" customWidth="1"/>
  </cols>
  <sheetData>
    <row r="1" spans="2:8" ht="16.5" thickBot="1" x14ac:dyDescent="0.3"/>
    <row r="2" spans="2:8" x14ac:dyDescent="0.25">
      <c r="B2" s="266"/>
      <c r="C2" s="267"/>
      <c r="D2" s="267"/>
      <c r="E2" s="267"/>
      <c r="F2" s="267"/>
      <c r="G2" s="267"/>
      <c r="H2" s="268"/>
    </row>
    <row r="3" spans="2:8" x14ac:dyDescent="0.25">
      <c r="B3" s="269"/>
      <c r="C3" s="270"/>
      <c r="D3" s="270"/>
      <c r="E3" s="270"/>
      <c r="F3" s="270"/>
      <c r="G3" s="270"/>
      <c r="H3" s="271"/>
    </row>
    <row r="4" spans="2:8" x14ac:dyDescent="0.25">
      <c r="B4" s="269"/>
      <c r="C4" s="270"/>
      <c r="D4" s="270"/>
      <c r="E4" s="270"/>
      <c r="F4" s="270"/>
      <c r="G4" s="270"/>
      <c r="H4" s="271"/>
    </row>
    <row r="5" spans="2:8" x14ac:dyDescent="0.25">
      <c r="B5" s="269"/>
      <c r="C5" s="270"/>
      <c r="D5" s="270"/>
      <c r="E5" s="270"/>
      <c r="F5" s="270"/>
      <c r="G5" s="270"/>
      <c r="H5" s="271"/>
    </row>
    <row r="6" spans="2:8" x14ac:dyDescent="0.25">
      <c r="B6" s="269"/>
      <c r="C6" s="270"/>
      <c r="D6" s="270"/>
      <c r="E6" s="270"/>
      <c r="F6" s="270"/>
      <c r="G6" s="270"/>
      <c r="H6" s="271"/>
    </row>
    <row r="7" spans="2:8" x14ac:dyDescent="0.25">
      <c r="B7" s="269"/>
      <c r="C7" s="270"/>
      <c r="D7" s="270"/>
      <c r="E7" s="270"/>
      <c r="F7" s="270"/>
      <c r="G7" s="270"/>
      <c r="H7" s="271"/>
    </row>
    <row r="8" spans="2:8" ht="16.5" thickBot="1" x14ac:dyDescent="0.3">
      <c r="B8" s="320"/>
      <c r="C8" s="321"/>
      <c r="D8" s="321"/>
      <c r="E8" s="321"/>
      <c r="F8" s="321"/>
      <c r="G8" s="321"/>
      <c r="H8" s="322"/>
    </row>
    <row r="9" spans="2:8" x14ac:dyDescent="0.25">
      <c r="B9" s="118" t="s">
        <v>274</v>
      </c>
      <c r="C9" s="30"/>
      <c r="D9" s="30"/>
      <c r="E9" s="30"/>
      <c r="F9" s="30"/>
      <c r="G9" s="30"/>
      <c r="H9" s="119"/>
    </row>
    <row r="10" spans="2:8" x14ac:dyDescent="0.25">
      <c r="B10" s="118" t="s">
        <v>275</v>
      </c>
      <c r="C10" s="30"/>
      <c r="D10" s="30"/>
      <c r="E10" s="30"/>
      <c r="F10" s="30"/>
      <c r="G10" s="30"/>
      <c r="H10" s="119"/>
    </row>
    <row r="11" spans="2:8" x14ac:dyDescent="0.25">
      <c r="B11" s="118" t="s">
        <v>276</v>
      </c>
      <c r="C11" s="30"/>
      <c r="D11" s="30"/>
      <c r="E11" s="30"/>
      <c r="F11" s="30"/>
      <c r="G11" s="30"/>
      <c r="H11" s="119"/>
    </row>
    <row r="12" spans="2:8" x14ac:dyDescent="0.25">
      <c r="B12" s="118" t="s">
        <v>279</v>
      </c>
      <c r="C12" s="30"/>
      <c r="D12" s="30"/>
      <c r="E12" s="120"/>
      <c r="F12" s="30"/>
      <c r="G12" s="30"/>
      <c r="H12" s="119"/>
    </row>
    <row r="13" spans="2:8" x14ac:dyDescent="0.25">
      <c r="B13" s="118" t="s">
        <v>336</v>
      </c>
      <c r="C13" s="30"/>
      <c r="D13" s="30"/>
      <c r="E13" s="120"/>
      <c r="F13" s="30"/>
      <c r="G13" s="30"/>
      <c r="H13" s="119"/>
    </row>
    <row r="14" spans="2:8" x14ac:dyDescent="0.25">
      <c r="B14" s="118" t="s">
        <v>54</v>
      </c>
      <c r="C14" s="121">
        <f>'ORÇAMENTO GERAL'!$C$17</f>
        <v>0.24229999999999999</v>
      </c>
      <c r="D14" s="30"/>
      <c r="E14" s="30"/>
      <c r="F14" s="30"/>
      <c r="G14" s="30"/>
      <c r="H14" s="119"/>
    </row>
    <row r="15" spans="2:8" ht="16.5" thickBot="1" x14ac:dyDescent="0.3">
      <c r="B15" s="118"/>
      <c r="C15" s="121"/>
      <c r="D15" s="30"/>
      <c r="E15" s="30"/>
      <c r="F15" s="30"/>
      <c r="G15" s="30"/>
      <c r="H15" s="119"/>
    </row>
    <row r="16" spans="2:8" ht="16.5" thickBot="1" x14ac:dyDescent="0.3">
      <c r="B16" s="323" t="s">
        <v>280</v>
      </c>
      <c r="C16" s="324"/>
      <c r="D16" s="324"/>
      <c r="E16" s="324"/>
      <c r="F16" s="324"/>
      <c r="G16" s="324"/>
      <c r="H16" s="325"/>
    </row>
    <row r="17" spans="2:8" ht="25.5" x14ac:dyDescent="0.25">
      <c r="B17" s="88" t="s">
        <v>9</v>
      </c>
      <c r="C17" s="89" t="s">
        <v>16</v>
      </c>
      <c r="D17" s="90" t="s">
        <v>10</v>
      </c>
      <c r="E17" s="91"/>
      <c r="F17" s="91"/>
      <c r="G17" s="91"/>
      <c r="H17" s="92">
        <f>H27+H35+H43</f>
        <v>44991.714903200009</v>
      </c>
    </row>
    <row r="18" spans="2:8" x14ac:dyDescent="0.25">
      <c r="B18" s="93"/>
      <c r="C18" s="94"/>
      <c r="D18" s="95" t="s">
        <v>56</v>
      </c>
      <c r="E18" s="94"/>
      <c r="F18" s="94"/>
      <c r="G18" s="94"/>
      <c r="H18" s="96"/>
    </row>
    <row r="19" spans="2:8" ht="25.5" x14ac:dyDescent="0.25">
      <c r="B19" s="97"/>
      <c r="C19" s="52"/>
      <c r="D19" s="52"/>
      <c r="E19" s="52" t="s">
        <v>2</v>
      </c>
      <c r="F19" s="52" t="s">
        <v>3</v>
      </c>
      <c r="G19" s="98" t="s">
        <v>59</v>
      </c>
      <c r="H19" s="99" t="s">
        <v>63</v>
      </c>
    </row>
    <row r="20" spans="2:8" x14ac:dyDescent="0.25">
      <c r="B20" s="97"/>
      <c r="C20" s="52"/>
      <c r="D20" s="100" t="s">
        <v>64</v>
      </c>
      <c r="E20" s="52"/>
      <c r="F20" s="52"/>
      <c r="G20" s="98"/>
      <c r="H20" s="99"/>
    </row>
    <row r="21" spans="2:8" x14ac:dyDescent="0.25">
      <c r="B21" s="97" t="s">
        <v>82</v>
      </c>
      <c r="C21" s="52">
        <v>34780</v>
      </c>
      <c r="D21" s="101" t="s">
        <v>57</v>
      </c>
      <c r="E21" s="52" t="s">
        <v>58</v>
      </c>
      <c r="F21" s="102">
        <v>84.378690000000006</v>
      </c>
      <c r="G21" s="103">
        <v>123.28</v>
      </c>
      <c r="H21" s="104">
        <f>F21*G21</f>
        <v>10402.204903200001</v>
      </c>
    </row>
    <row r="22" spans="2:8" x14ac:dyDescent="0.25">
      <c r="B22" s="97"/>
      <c r="C22" s="52"/>
      <c r="D22" s="100" t="s">
        <v>65</v>
      </c>
      <c r="E22" s="52"/>
      <c r="F22" s="102"/>
      <c r="G22" s="103"/>
      <c r="H22" s="105"/>
    </row>
    <row r="23" spans="2:8" x14ac:dyDescent="0.25">
      <c r="B23" s="97" t="s">
        <v>82</v>
      </c>
      <c r="C23" s="52">
        <v>34780</v>
      </c>
      <c r="D23" s="101" t="s">
        <v>57</v>
      </c>
      <c r="E23" s="52" t="s">
        <v>58</v>
      </c>
      <c r="F23" s="102">
        <v>120</v>
      </c>
      <c r="G23" s="103">
        <v>123.28</v>
      </c>
      <c r="H23" s="104">
        <f>F23*G23</f>
        <v>14793.6</v>
      </c>
    </row>
    <row r="24" spans="2:8" x14ac:dyDescent="0.25">
      <c r="B24" s="97" t="s">
        <v>82</v>
      </c>
      <c r="C24" s="52">
        <v>7592</v>
      </c>
      <c r="D24" s="101" t="s">
        <v>60</v>
      </c>
      <c r="E24" s="52" t="s">
        <v>58</v>
      </c>
      <c r="F24" s="102">
        <v>176</v>
      </c>
      <c r="G24" s="103">
        <v>25.17</v>
      </c>
      <c r="H24" s="104">
        <f>F24*G24</f>
        <v>4429.92</v>
      </c>
    </row>
    <row r="25" spans="2:8" x14ac:dyDescent="0.25">
      <c r="B25" s="97" t="s">
        <v>82</v>
      </c>
      <c r="C25" s="52">
        <v>244</v>
      </c>
      <c r="D25" s="101" t="s">
        <v>61</v>
      </c>
      <c r="E25" s="52" t="s">
        <v>58</v>
      </c>
      <c r="F25" s="102">
        <v>176</v>
      </c>
      <c r="G25" s="103">
        <v>11.32</v>
      </c>
      <c r="H25" s="104">
        <f>F25*G25</f>
        <v>1992.3200000000002</v>
      </c>
    </row>
    <row r="26" spans="2:8" x14ac:dyDescent="0.25">
      <c r="B26" s="97" t="s">
        <v>82</v>
      </c>
      <c r="C26" s="52">
        <v>2359</v>
      </c>
      <c r="D26" s="101" t="s">
        <v>62</v>
      </c>
      <c r="E26" s="52" t="s">
        <v>58</v>
      </c>
      <c r="F26" s="102">
        <v>176</v>
      </c>
      <c r="G26" s="103">
        <v>18.86</v>
      </c>
      <c r="H26" s="104">
        <f>F26*G26</f>
        <v>3319.3599999999997</v>
      </c>
    </row>
    <row r="27" spans="2:8" x14ac:dyDescent="0.25">
      <c r="B27" s="106"/>
      <c r="C27" s="107"/>
      <c r="D27" s="108"/>
      <c r="E27" s="109" t="s">
        <v>66</v>
      </c>
      <c r="F27" s="108"/>
      <c r="G27" s="108"/>
      <c r="H27" s="110">
        <f>H21+H23+H24+H25+H26</f>
        <v>34937.404903200004</v>
      </c>
    </row>
    <row r="28" spans="2:8" x14ac:dyDescent="0.25">
      <c r="B28" s="314"/>
      <c r="C28" s="315"/>
      <c r="D28" s="315"/>
      <c r="E28" s="315"/>
      <c r="F28" s="315"/>
      <c r="G28" s="315"/>
      <c r="H28" s="316"/>
    </row>
    <row r="29" spans="2:8" x14ac:dyDescent="0.25">
      <c r="B29" s="272"/>
      <c r="C29" s="273"/>
      <c r="D29" s="273"/>
      <c r="E29" s="273"/>
      <c r="F29" s="273"/>
      <c r="G29" s="273"/>
      <c r="H29" s="274"/>
    </row>
    <row r="30" spans="2:8" x14ac:dyDescent="0.25">
      <c r="B30" s="93"/>
      <c r="C30" s="94"/>
      <c r="D30" s="95" t="s">
        <v>67</v>
      </c>
      <c r="E30" s="94"/>
      <c r="F30" s="94"/>
      <c r="G30" s="94"/>
      <c r="H30" s="96"/>
    </row>
    <row r="31" spans="2:8" ht="25.5" x14ac:dyDescent="0.25">
      <c r="B31" s="97"/>
      <c r="C31" s="52"/>
      <c r="D31" s="52"/>
      <c r="E31" s="52" t="s">
        <v>2</v>
      </c>
      <c r="F31" s="52" t="s">
        <v>3</v>
      </c>
      <c r="G31" s="98" t="s">
        <v>59</v>
      </c>
      <c r="H31" s="99" t="s">
        <v>63</v>
      </c>
    </row>
    <row r="32" spans="2:8" x14ac:dyDescent="0.25">
      <c r="B32" s="111"/>
      <c r="C32" s="112"/>
      <c r="D32" s="31" t="s">
        <v>68</v>
      </c>
      <c r="E32" s="112"/>
      <c r="F32" s="112"/>
      <c r="G32" s="112"/>
      <c r="H32" s="113"/>
    </row>
    <row r="33" spans="2:8" x14ac:dyDescent="0.25">
      <c r="B33" s="97" t="s">
        <v>82</v>
      </c>
      <c r="C33" s="52">
        <v>92138</v>
      </c>
      <c r="D33" s="101" t="s">
        <v>70</v>
      </c>
      <c r="E33" s="52" t="s">
        <v>58</v>
      </c>
      <c r="F33" s="102">
        <v>90</v>
      </c>
      <c r="G33" s="103">
        <v>83.17</v>
      </c>
      <c r="H33" s="104">
        <f>F33*G33</f>
        <v>7485.3</v>
      </c>
    </row>
    <row r="34" spans="2:8" x14ac:dyDescent="0.25">
      <c r="B34" s="114" t="s">
        <v>82</v>
      </c>
      <c r="C34" s="52">
        <v>7247</v>
      </c>
      <c r="D34" s="101" t="s">
        <v>69</v>
      </c>
      <c r="E34" s="52" t="s">
        <v>58</v>
      </c>
      <c r="F34" s="102">
        <v>90</v>
      </c>
      <c r="G34" s="103">
        <v>2.25</v>
      </c>
      <c r="H34" s="104">
        <f>F34*G34</f>
        <v>202.5</v>
      </c>
    </row>
    <row r="35" spans="2:8" x14ac:dyDescent="0.25">
      <c r="B35" s="106"/>
      <c r="C35" s="107"/>
      <c r="D35" s="108"/>
      <c r="E35" s="109" t="s">
        <v>66</v>
      </c>
      <c r="F35" s="108"/>
      <c r="G35" s="108"/>
      <c r="H35" s="110">
        <f>H33+H34</f>
        <v>7687.8</v>
      </c>
    </row>
    <row r="36" spans="2:8" x14ac:dyDescent="0.25">
      <c r="B36" s="314"/>
      <c r="C36" s="315"/>
      <c r="D36" s="315"/>
      <c r="E36" s="315"/>
      <c r="F36" s="315"/>
      <c r="G36" s="315"/>
      <c r="H36" s="316"/>
    </row>
    <row r="37" spans="2:8" x14ac:dyDescent="0.25">
      <c r="B37" s="269"/>
      <c r="C37" s="270"/>
      <c r="D37" s="270"/>
      <c r="E37" s="270"/>
      <c r="F37" s="270"/>
      <c r="G37" s="270"/>
      <c r="H37" s="271"/>
    </row>
    <row r="38" spans="2:8" x14ac:dyDescent="0.25">
      <c r="B38" s="272"/>
      <c r="C38" s="273"/>
      <c r="D38" s="273"/>
      <c r="E38" s="273"/>
      <c r="F38" s="273"/>
      <c r="G38" s="273"/>
      <c r="H38" s="274"/>
    </row>
    <row r="39" spans="2:8" x14ac:dyDescent="0.25">
      <c r="B39" s="93"/>
      <c r="C39" s="94"/>
      <c r="D39" s="95" t="s">
        <v>71</v>
      </c>
      <c r="E39" s="94"/>
      <c r="F39" s="94"/>
      <c r="G39" s="94"/>
      <c r="H39" s="96"/>
    </row>
    <row r="40" spans="2:8" ht="25.5" x14ac:dyDescent="0.25">
      <c r="B40" s="97"/>
      <c r="C40" s="52"/>
      <c r="D40" s="52"/>
      <c r="E40" s="52" t="s">
        <v>2</v>
      </c>
      <c r="F40" s="52" t="s">
        <v>3</v>
      </c>
      <c r="G40" s="98" t="s">
        <v>59</v>
      </c>
      <c r="H40" s="99" t="s">
        <v>63</v>
      </c>
    </row>
    <row r="41" spans="2:8" x14ac:dyDescent="0.25">
      <c r="B41" s="111"/>
      <c r="C41" s="112"/>
      <c r="D41" s="112" t="s">
        <v>74</v>
      </c>
      <c r="E41" s="112"/>
      <c r="F41" s="112"/>
      <c r="G41" s="112"/>
      <c r="H41" s="113"/>
    </row>
    <row r="42" spans="2:8" x14ac:dyDescent="0.25">
      <c r="B42" s="97" t="s">
        <v>72</v>
      </c>
      <c r="C42" s="52" t="s">
        <v>73</v>
      </c>
      <c r="D42" s="101" t="s">
        <v>75</v>
      </c>
      <c r="E42" s="52" t="s">
        <v>25</v>
      </c>
      <c r="F42" s="102">
        <v>100</v>
      </c>
      <c r="G42" s="103">
        <v>23.665099999999999</v>
      </c>
      <c r="H42" s="104">
        <f>F42*G42</f>
        <v>2366.5099999999998</v>
      </c>
    </row>
    <row r="43" spans="2:8" x14ac:dyDescent="0.25">
      <c r="B43" s="106"/>
      <c r="C43" s="107"/>
      <c r="D43" s="108"/>
      <c r="E43" s="109" t="s">
        <v>76</v>
      </c>
      <c r="F43" s="108"/>
      <c r="G43" s="108"/>
      <c r="H43" s="110">
        <f>H41+H42</f>
        <v>2366.5099999999998</v>
      </c>
    </row>
    <row r="44" spans="2:8" x14ac:dyDescent="0.25">
      <c r="B44" s="314"/>
      <c r="C44" s="315"/>
      <c r="D44" s="315"/>
      <c r="E44" s="315"/>
      <c r="F44" s="315"/>
      <c r="G44" s="315"/>
      <c r="H44" s="316"/>
    </row>
    <row r="45" spans="2:8" x14ac:dyDescent="0.25">
      <c r="B45" s="272"/>
      <c r="C45" s="273"/>
      <c r="D45" s="273"/>
      <c r="E45" s="273"/>
      <c r="F45" s="273"/>
      <c r="G45" s="273"/>
      <c r="H45" s="274"/>
    </row>
    <row r="46" spans="2:8" x14ac:dyDescent="0.25">
      <c r="B46" s="317" t="s">
        <v>77</v>
      </c>
      <c r="C46" s="318"/>
      <c r="D46" s="318"/>
      <c r="E46" s="318"/>
      <c r="F46" s="318"/>
      <c r="G46" s="318"/>
      <c r="H46" s="319"/>
    </row>
    <row r="47" spans="2:8" x14ac:dyDescent="0.25">
      <c r="B47" s="111"/>
      <c r="C47" s="112" t="s">
        <v>78</v>
      </c>
      <c r="D47" s="112"/>
      <c r="E47" s="112"/>
      <c r="F47" s="112"/>
      <c r="G47" s="112"/>
      <c r="H47" s="104">
        <f>H27+H35+H43</f>
        <v>44991.714903200009</v>
      </c>
    </row>
    <row r="48" spans="2:8" ht="16.5" thickBot="1" x14ac:dyDescent="0.3">
      <c r="B48" s="115"/>
      <c r="C48" s="116" t="s">
        <v>79</v>
      </c>
      <c r="D48" s="116"/>
      <c r="E48" s="116"/>
      <c r="F48" s="116"/>
      <c r="G48" s="116"/>
      <c r="H48" s="117">
        <v>55593.2</v>
      </c>
    </row>
    <row r="49" spans="2:8" x14ac:dyDescent="0.25">
      <c r="B49" s="30"/>
      <c r="C49" s="30"/>
      <c r="D49" s="30"/>
      <c r="E49" s="30"/>
      <c r="F49" s="30"/>
      <c r="G49" s="30"/>
      <c r="H49" s="30"/>
    </row>
    <row r="57" spans="2:8" x14ac:dyDescent="0.25">
      <c r="F57" t="s">
        <v>80</v>
      </c>
    </row>
  </sheetData>
  <mergeCells count="6">
    <mergeCell ref="B44:H45"/>
    <mergeCell ref="B36:H38"/>
    <mergeCell ref="B28:H29"/>
    <mergeCell ref="B46:H46"/>
    <mergeCell ref="B2:H8"/>
    <mergeCell ref="B16:H16"/>
  </mergeCells>
  <pageMargins left="0.51181102362204722" right="0.51181102362204722" top="0.78740157480314965" bottom="0.78740157480314965" header="0.31496062992125984" footer="0.31496062992125984"/>
  <pageSetup paperSize="9" scale="74" orientation="portrait" horizontalDpi="360" verticalDpi="360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26"/>
  <sheetViews>
    <sheetView view="pageBreakPreview" topLeftCell="A10" zoomScale="90" zoomScaleNormal="70" zoomScaleSheetLayoutView="90" workbookViewId="0">
      <selection activeCell="B14" sqref="B14:W14"/>
    </sheetView>
  </sheetViews>
  <sheetFormatPr defaultColWidth="8" defaultRowHeight="15.75" x14ac:dyDescent="0.25"/>
  <cols>
    <col min="1" max="1" width="8" style="28"/>
    <col min="2" max="2" width="20.5" style="28" bestFit="1" customWidth="1"/>
    <col min="3" max="3" width="14.375" style="28" customWidth="1"/>
    <col min="4" max="4" width="33.625" style="28" bestFit="1" customWidth="1"/>
    <col min="5" max="5" width="3.375" style="28" bestFit="1" customWidth="1"/>
    <col min="6" max="6" width="4.5" style="28" bestFit="1" customWidth="1"/>
    <col min="7" max="7" width="2.125" style="28" bestFit="1" customWidth="1"/>
    <col min="8" max="8" width="4.875" style="28" bestFit="1" customWidth="1"/>
    <col min="9" max="9" width="3.625" style="28" bestFit="1" customWidth="1"/>
    <col min="10" max="10" width="3.375" style="28" bestFit="1" customWidth="1"/>
    <col min="11" max="11" width="4.5" style="28" bestFit="1" customWidth="1"/>
    <col min="12" max="12" width="2.125" style="28" customWidth="1"/>
    <col min="13" max="13" width="6" style="28" bestFit="1" customWidth="1"/>
    <col min="14" max="14" width="15.625" style="28" bestFit="1" customWidth="1"/>
    <col min="15" max="16" width="16.5" style="28" customWidth="1"/>
    <col min="17" max="17" width="10.625" style="28" bestFit="1" customWidth="1"/>
    <col min="18" max="20" width="8.5" style="28" bestFit="1" customWidth="1"/>
    <col min="21" max="21" width="11.625" style="28" bestFit="1" customWidth="1"/>
    <col min="22" max="22" width="22" style="28" bestFit="1" customWidth="1"/>
    <col min="23" max="23" width="17.125" style="28" bestFit="1" customWidth="1"/>
    <col min="24" max="16384" width="8" style="28"/>
  </cols>
  <sheetData>
    <row r="1" spans="2:23" ht="16.5" thickBot="1" x14ac:dyDescent="0.3"/>
    <row r="2" spans="2:23" x14ac:dyDescent="0.25"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60"/>
    </row>
    <row r="3" spans="2:23" x14ac:dyDescent="0.25">
      <c r="B3" s="361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3"/>
    </row>
    <row r="4" spans="2:23" x14ac:dyDescent="0.25">
      <c r="B4" s="361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3"/>
    </row>
    <row r="5" spans="2:23" x14ac:dyDescent="0.25">
      <c r="B5" s="361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3"/>
    </row>
    <row r="6" spans="2:23" ht="102.75" customHeight="1" thickBot="1" x14ac:dyDescent="0.3">
      <c r="B6" s="364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6"/>
    </row>
    <row r="7" spans="2:23" x14ac:dyDescent="0.25">
      <c r="B7" s="171" t="s">
        <v>140</v>
      </c>
      <c r="C7" s="348" t="s">
        <v>141</v>
      </c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172"/>
      <c r="Q7" s="150"/>
      <c r="R7" s="150"/>
      <c r="S7" s="150"/>
      <c r="T7" s="150"/>
      <c r="U7" s="150"/>
      <c r="V7" s="150"/>
      <c r="W7" s="173"/>
    </row>
    <row r="8" spans="2:23" x14ac:dyDescent="0.25">
      <c r="B8" s="171" t="s">
        <v>142</v>
      </c>
      <c r="C8" s="348" t="s">
        <v>143</v>
      </c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150"/>
      <c r="P8" s="150"/>
      <c r="Q8" s="150"/>
      <c r="R8" s="150"/>
      <c r="S8" s="150"/>
      <c r="T8" s="150"/>
      <c r="U8" s="150"/>
      <c r="V8" s="150"/>
      <c r="W8" s="173"/>
    </row>
    <row r="9" spans="2:23" x14ac:dyDescent="0.25">
      <c r="B9" s="171" t="s">
        <v>144</v>
      </c>
      <c r="C9" s="348" t="s">
        <v>145</v>
      </c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150"/>
      <c r="P9" s="150"/>
      <c r="Q9" s="150"/>
      <c r="R9" s="150"/>
      <c r="S9" s="150"/>
      <c r="T9" s="150"/>
      <c r="U9" s="150"/>
      <c r="V9" s="150"/>
      <c r="W9" s="173"/>
    </row>
    <row r="10" spans="2:23" x14ac:dyDescent="0.25">
      <c r="B10" s="171" t="s">
        <v>146</v>
      </c>
      <c r="C10" s="349" t="s">
        <v>147</v>
      </c>
      <c r="D10" s="349"/>
      <c r="E10" s="349"/>
      <c r="F10" s="349"/>
      <c r="G10" s="349"/>
      <c r="H10" s="349"/>
      <c r="I10" s="349"/>
      <c r="J10" s="349"/>
      <c r="K10" s="349"/>
      <c r="L10" s="349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73"/>
    </row>
    <row r="11" spans="2:23" s="29" customFormat="1" ht="31.5" x14ac:dyDescent="0.25">
      <c r="B11" s="174" t="s">
        <v>148</v>
      </c>
      <c r="C11" s="350" t="s">
        <v>337</v>
      </c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175"/>
      <c r="O11" s="175"/>
      <c r="P11" s="175"/>
      <c r="Q11" s="175"/>
      <c r="R11" s="175"/>
      <c r="S11" s="175"/>
      <c r="T11" s="175"/>
      <c r="U11" s="175"/>
      <c r="V11" s="175"/>
      <c r="W11" s="176"/>
    </row>
    <row r="12" spans="2:23" x14ac:dyDescent="0.25">
      <c r="B12" s="171" t="s">
        <v>149</v>
      </c>
      <c r="C12" s="351">
        <f>'CPMPOSIÇÃO DE PREÇOS UNITÁRIOS '!C16</f>
        <v>0.24229999999999999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150"/>
      <c r="O12" s="150"/>
      <c r="P12" s="150"/>
      <c r="Q12" s="150"/>
      <c r="R12" s="150"/>
      <c r="S12" s="150"/>
      <c r="T12" s="150"/>
      <c r="U12" s="150"/>
      <c r="V12" s="150"/>
      <c r="W12" s="173"/>
    </row>
    <row r="13" spans="2:23" ht="16.5" thickBot="1" x14ac:dyDescent="0.3">
      <c r="B13" s="177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73"/>
    </row>
    <row r="14" spans="2:23" ht="16.5" thickBot="1" x14ac:dyDescent="0.3">
      <c r="B14" s="355" t="s">
        <v>283</v>
      </c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7"/>
    </row>
    <row r="15" spans="2:23" ht="18.75" thickBot="1" x14ac:dyDescent="0.3">
      <c r="B15" s="352" t="s">
        <v>150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4"/>
    </row>
    <row r="16" spans="2:23" x14ac:dyDescent="0.25">
      <c r="B16" s="178"/>
      <c r="C16" s="179"/>
      <c r="D16" s="179"/>
      <c r="E16" s="179"/>
      <c r="F16" s="179"/>
      <c r="G16" s="179"/>
      <c r="H16" s="179"/>
      <c r="I16" s="179"/>
      <c r="J16" s="179"/>
      <c r="K16" s="180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1"/>
    </row>
    <row r="17" spans="2:23" x14ac:dyDescent="0.25">
      <c r="B17" s="178"/>
      <c r="C17" s="179"/>
      <c r="D17" s="179"/>
      <c r="E17" s="179"/>
      <c r="F17" s="179"/>
      <c r="G17" s="179"/>
      <c r="H17" s="179"/>
      <c r="I17" s="179"/>
      <c r="J17" s="179"/>
      <c r="K17" s="347" t="s">
        <v>151</v>
      </c>
      <c r="L17" s="347"/>
      <c r="M17" s="347"/>
      <c r="N17" s="151">
        <v>0.2</v>
      </c>
      <c r="O17" s="179"/>
      <c r="P17" s="179"/>
      <c r="Q17" s="179"/>
      <c r="R17" s="179"/>
      <c r="S17" s="179"/>
      <c r="T17" s="179"/>
      <c r="U17" s="179"/>
      <c r="V17" s="179"/>
      <c r="W17" s="181"/>
    </row>
    <row r="18" spans="2:23" x14ac:dyDescent="0.25">
      <c r="B18" s="178"/>
      <c r="C18" s="179"/>
      <c r="D18" s="179"/>
      <c r="E18" s="179"/>
      <c r="F18" s="179"/>
      <c r="G18" s="179"/>
      <c r="H18" s="179"/>
      <c r="I18" s="179"/>
      <c r="J18" s="179"/>
      <c r="K18" s="347" t="s">
        <v>152</v>
      </c>
      <c r="L18" s="347"/>
      <c r="M18" s="347"/>
      <c r="N18" s="180">
        <v>1.395</v>
      </c>
      <c r="O18" s="179" t="s">
        <v>284</v>
      </c>
      <c r="P18" s="179"/>
      <c r="Q18" s="179"/>
      <c r="R18" s="179"/>
      <c r="S18" s="179"/>
      <c r="T18" s="179"/>
      <c r="U18" s="179"/>
      <c r="V18" s="179"/>
      <c r="W18" s="181"/>
    </row>
    <row r="19" spans="2:23" x14ac:dyDescent="0.25">
      <c r="B19" s="178"/>
      <c r="C19" s="179"/>
      <c r="D19" s="179"/>
      <c r="E19" s="179"/>
      <c r="F19" s="179"/>
      <c r="G19" s="179"/>
      <c r="H19" s="179"/>
      <c r="I19" s="179"/>
      <c r="J19" s="179"/>
      <c r="K19" s="347" t="s">
        <v>153</v>
      </c>
      <c r="L19" s="347"/>
      <c r="M19" s="347"/>
      <c r="N19" s="180">
        <v>0.2</v>
      </c>
      <c r="O19" s="179" t="s">
        <v>139</v>
      </c>
      <c r="P19" s="179"/>
      <c r="Q19" s="179"/>
      <c r="R19" s="179"/>
      <c r="S19" s="179"/>
      <c r="T19" s="179"/>
      <c r="U19" s="179"/>
      <c r="V19" s="179"/>
      <c r="W19" s="181"/>
    </row>
    <row r="20" spans="2:23" x14ac:dyDescent="0.25">
      <c r="B20" s="178"/>
      <c r="C20" s="179"/>
      <c r="D20" s="179"/>
      <c r="E20" s="179"/>
      <c r="F20" s="179"/>
      <c r="G20" s="179"/>
      <c r="H20" s="179"/>
      <c r="I20" s="179"/>
      <c r="J20" s="179"/>
      <c r="K20" s="347" t="s">
        <v>154</v>
      </c>
      <c r="L20" s="347"/>
      <c r="M20" s="347"/>
      <c r="N20" s="180">
        <v>20</v>
      </c>
      <c r="O20" s="179" t="s">
        <v>139</v>
      </c>
      <c r="P20" s="179"/>
      <c r="Q20" s="179"/>
      <c r="R20" s="179"/>
      <c r="S20" s="179"/>
      <c r="T20" s="179"/>
      <c r="U20" s="179"/>
      <c r="V20" s="179"/>
      <c r="W20" s="181"/>
    </row>
    <row r="21" spans="2:23" x14ac:dyDescent="0.25">
      <c r="B21" s="178"/>
      <c r="C21" s="179"/>
      <c r="D21" s="179"/>
      <c r="E21" s="179"/>
      <c r="F21" s="179"/>
      <c r="G21" s="179"/>
      <c r="H21" s="179"/>
      <c r="I21" s="179"/>
      <c r="J21" s="179"/>
      <c r="K21" s="347" t="s">
        <v>155</v>
      </c>
      <c r="L21" s="347"/>
      <c r="M21" s="347"/>
      <c r="N21" s="180">
        <v>6</v>
      </c>
      <c r="O21" s="179" t="s">
        <v>139</v>
      </c>
      <c r="P21" s="179"/>
      <c r="Q21" s="179"/>
      <c r="R21" s="179"/>
      <c r="S21" s="179"/>
      <c r="T21" s="179"/>
      <c r="U21" s="179"/>
      <c r="V21" s="179"/>
      <c r="W21" s="181"/>
    </row>
    <row r="22" spans="2:23" x14ac:dyDescent="0.25">
      <c r="B22" s="178"/>
      <c r="C22" s="179"/>
      <c r="D22" s="179"/>
      <c r="E22" s="179"/>
      <c r="F22" s="179"/>
      <c r="G22" s="179"/>
      <c r="H22" s="179"/>
      <c r="I22" s="179"/>
      <c r="J22" s="179"/>
      <c r="K22" s="180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81"/>
    </row>
    <row r="23" spans="2:23" x14ac:dyDescent="0.25">
      <c r="B23" s="178"/>
      <c r="C23" s="179"/>
      <c r="D23" s="179"/>
      <c r="E23" s="179"/>
      <c r="F23" s="179"/>
      <c r="G23" s="179"/>
      <c r="H23" s="179"/>
      <c r="I23" s="179"/>
      <c r="J23" s="179"/>
      <c r="K23" s="180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81"/>
    </row>
    <row r="24" spans="2:23" ht="16.5" thickBot="1" x14ac:dyDescent="0.3">
      <c r="B24" s="178"/>
      <c r="C24" s="179"/>
      <c r="D24" s="179"/>
      <c r="E24" s="179"/>
      <c r="F24" s="179"/>
      <c r="G24" s="179"/>
      <c r="H24" s="179"/>
      <c r="I24" s="179"/>
      <c r="J24" s="179"/>
      <c r="K24" s="180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81"/>
    </row>
    <row r="25" spans="2:23" x14ac:dyDescent="0.25">
      <c r="B25" s="376" t="s">
        <v>156</v>
      </c>
      <c r="C25" s="345" t="s">
        <v>157</v>
      </c>
      <c r="D25" s="370" t="s">
        <v>158</v>
      </c>
      <c r="E25" s="345" t="s">
        <v>259</v>
      </c>
      <c r="F25" s="345"/>
      <c r="G25" s="345"/>
      <c r="H25" s="345"/>
      <c r="I25" s="345"/>
      <c r="J25" s="345"/>
      <c r="K25" s="345"/>
      <c r="L25" s="345"/>
      <c r="M25" s="345"/>
      <c r="N25" s="345" t="s">
        <v>159</v>
      </c>
      <c r="O25" s="345" t="s">
        <v>160</v>
      </c>
      <c r="P25" s="345" t="s">
        <v>128</v>
      </c>
      <c r="Q25" s="345" t="s">
        <v>161</v>
      </c>
      <c r="R25" s="345" t="s">
        <v>162</v>
      </c>
      <c r="S25" s="345" t="s">
        <v>163</v>
      </c>
      <c r="T25" s="345" t="s">
        <v>164</v>
      </c>
      <c r="U25" s="345" t="s">
        <v>165</v>
      </c>
      <c r="V25" s="345" t="s">
        <v>166</v>
      </c>
      <c r="W25" s="374" t="s">
        <v>167</v>
      </c>
    </row>
    <row r="26" spans="2:23" ht="16.5" thickBot="1" x14ac:dyDescent="0.3">
      <c r="B26" s="377"/>
      <c r="C26" s="346"/>
      <c r="D26" s="371"/>
      <c r="E26" s="346"/>
      <c r="F26" s="346"/>
      <c r="G26" s="346"/>
      <c r="H26" s="346"/>
      <c r="I26" s="346"/>
      <c r="J26" s="346"/>
      <c r="K26" s="346"/>
      <c r="L26" s="346"/>
      <c r="M26" s="346"/>
      <c r="N26" s="346" t="s">
        <v>168</v>
      </c>
      <c r="O26" s="346" t="s">
        <v>169</v>
      </c>
      <c r="P26" s="346" t="s">
        <v>169</v>
      </c>
      <c r="Q26" s="346" t="s">
        <v>170</v>
      </c>
      <c r="R26" s="346"/>
      <c r="S26" s="346"/>
      <c r="T26" s="346"/>
      <c r="U26" s="346" t="s">
        <v>171</v>
      </c>
      <c r="V26" s="346" t="s">
        <v>132</v>
      </c>
      <c r="W26" s="375" t="s">
        <v>132</v>
      </c>
    </row>
    <row r="27" spans="2:23" ht="4.5" customHeight="1" thickBot="1" x14ac:dyDescent="0.3">
      <c r="B27" s="182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4"/>
    </row>
    <row r="28" spans="2:23" ht="15" customHeight="1" x14ac:dyDescent="0.25">
      <c r="B28" s="152" t="s">
        <v>172</v>
      </c>
      <c r="C28" s="153" t="s">
        <v>263</v>
      </c>
      <c r="D28" s="153" t="s">
        <v>262</v>
      </c>
      <c r="E28" s="154" t="s">
        <v>173</v>
      </c>
      <c r="F28" s="154">
        <v>0</v>
      </c>
      <c r="G28" s="154" t="s">
        <v>174</v>
      </c>
      <c r="H28" s="155">
        <v>0</v>
      </c>
      <c r="I28" s="154" t="s">
        <v>175</v>
      </c>
      <c r="J28" s="154" t="s">
        <v>173</v>
      </c>
      <c r="K28" s="156">
        <v>114</v>
      </c>
      <c r="L28" s="154" t="s">
        <v>174</v>
      </c>
      <c r="M28" s="155">
        <v>19.57</v>
      </c>
      <c r="N28" s="155">
        <f>ROUND((K28-F28)*$N$20+M28-H28,2)</f>
        <v>2299.5700000000002</v>
      </c>
      <c r="O28" s="155">
        <f>ROUND(N28*$N$21*(1+$N$17)*$N$19,2)</f>
        <v>3311.38</v>
      </c>
      <c r="P28" s="155">
        <f>N28*N$21*N$19</f>
        <v>2759.4840000000004</v>
      </c>
      <c r="Q28" s="155">
        <f>ROUND(O28*$N$18,2)</f>
        <v>4619.38</v>
      </c>
      <c r="R28" s="155">
        <v>3146</v>
      </c>
      <c r="S28" s="155">
        <v>0</v>
      </c>
      <c r="T28" s="155">
        <f>N28-S28</f>
        <v>2299.5700000000002</v>
      </c>
      <c r="U28" s="155">
        <f>((S28^2+T28^2)/(2*(S28+T28))+R28)/1000</f>
        <v>4.2957849999999995</v>
      </c>
      <c r="V28" s="155">
        <f>ROUND(N28/2000,3)</f>
        <v>1.1499999999999999</v>
      </c>
      <c r="W28" s="157">
        <f>Q28*(U28+V28)</f>
        <v>25156.150313299997</v>
      </c>
    </row>
    <row r="29" spans="2:23" ht="15" customHeight="1" x14ac:dyDescent="0.25">
      <c r="B29" s="158" t="s">
        <v>176</v>
      </c>
      <c r="C29" s="372" t="s">
        <v>264</v>
      </c>
      <c r="D29" s="372" t="s">
        <v>260</v>
      </c>
      <c r="E29" s="159" t="s">
        <v>173</v>
      </c>
      <c r="F29" s="159">
        <v>0</v>
      </c>
      <c r="G29" s="159" t="s">
        <v>174</v>
      </c>
      <c r="H29" s="160">
        <v>0</v>
      </c>
      <c r="I29" s="159" t="s">
        <v>175</v>
      </c>
      <c r="J29" s="159" t="s">
        <v>173</v>
      </c>
      <c r="K29" s="161">
        <v>250</v>
      </c>
      <c r="L29" s="159" t="s">
        <v>174</v>
      </c>
      <c r="M29" s="160">
        <v>0</v>
      </c>
      <c r="N29" s="160">
        <f>ROUND((K29-F29)*$N$20+M29-H29,2)</f>
        <v>5000</v>
      </c>
      <c r="O29" s="160">
        <f>ROUND(N29*$N$21*(1+$N$17)*$N$19,2)</f>
        <v>7200</v>
      </c>
      <c r="P29" s="160">
        <f>N29*N$21*N$19</f>
        <v>6000</v>
      </c>
      <c r="Q29" s="160">
        <f>ROUND(O29*$N$18,2)</f>
        <v>10044</v>
      </c>
      <c r="R29" s="160">
        <v>930</v>
      </c>
      <c r="S29" s="160">
        <v>556</v>
      </c>
      <c r="T29" s="160">
        <f>N29-S29</f>
        <v>4444</v>
      </c>
      <c r="U29" s="160">
        <f>((S29^2+T29^2)/(2*(S29+T29))+R29)/1000</f>
        <v>2.9358271999999999</v>
      </c>
      <c r="V29" s="160">
        <f>ROUND(N29/2000,3)</f>
        <v>2.5</v>
      </c>
      <c r="W29" s="162">
        <f>Q29*(U29+V29)</f>
        <v>54597.448396800006</v>
      </c>
    </row>
    <row r="30" spans="2:23" ht="15" customHeight="1" x14ac:dyDescent="0.25">
      <c r="B30" s="158" t="s">
        <v>177</v>
      </c>
      <c r="C30" s="373"/>
      <c r="D30" s="373"/>
      <c r="E30" s="159" t="s">
        <v>173</v>
      </c>
      <c r="F30" s="159">
        <v>250</v>
      </c>
      <c r="G30" s="159" t="s">
        <v>174</v>
      </c>
      <c r="H30" s="160">
        <v>0</v>
      </c>
      <c r="I30" s="159" t="s">
        <v>175</v>
      </c>
      <c r="J30" s="159" t="s">
        <v>173</v>
      </c>
      <c r="K30" s="161">
        <v>620</v>
      </c>
      <c r="L30" s="159" t="s">
        <v>174</v>
      </c>
      <c r="M30" s="160">
        <v>2.09</v>
      </c>
      <c r="N30" s="160">
        <f>ROUND((K30-F30)*$N$20+M30-H30,2)</f>
        <v>7402.09</v>
      </c>
      <c r="O30" s="160">
        <f>ROUND(N30*$N$21*(1+$N$17)*$N$19,2)</f>
        <v>10659.01</v>
      </c>
      <c r="P30" s="160">
        <f>N30*N$21*N$19</f>
        <v>8882.5079999999998</v>
      </c>
      <c r="Q30" s="160">
        <f>ROUND(O30*$N$18,2)</f>
        <v>14869.32</v>
      </c>
      <c r="R30" s="160">
        <v>474</v>
      </c>
      <c r="S30" s="160">
        <v>4462</v>
      </c>
      <c r="T30" s="160">
        <f>N30-S30</f>
        <v>2940.09</v>
      </c>
      <c r="U30" s="160">
        <f>((S30^2+T30^2)/(2*(S30+T30))+R30)/1000</f>
        <v>2.4027507452692416</v>
      </c>
      <c r="V30" s="160">
        <f>ROUND(N30/2000,3)</f>
        <v>3.7010000000000001</v>
      </c>
      <c r="W30" s="162">
        <f>Q30*(U30+V30)</f>
        <v>90758.623031646843</v>
      </c>
    </row>
    <row r="31" spans="2:23" ht="15" customHeight="1" thickBot="1" x14ac:dyDescent="0.3">
      <c r="B31" s="158" t="s">
        <v>178</v>
      </c>
      <c r="C31" s="159" t="s">
        <v>265</v>
      </c>
      <c r="D31" s="159" t="s">
        <v>261</v>
      </c>
      <c r="E31" s="159" t="s">
        <v>173</v>
      </c>
      <c r="F31" s="159">
        <v>0</v>
      </c>
      <c r="G31" s="159" t="s">
        <v>174</v>
      </c>
      <c r="H31" s="160">
        <v>0</v>
      </c>
      <c r="I31" s="159" t="s">
        <v>175</v>
      </c>
      <c r="J31" s="159" t="s">
        <v>173</v>
      </c>
      <c r="K31" s="161">
        <v>660</v>
      </c>
      <c r="L31" s="159" t="s">
        <v>174</v>
      </c>
      <c r="M31" s="160">
        <v>9.44</v>
      </c>
      <c r="N31" s="160">
        <f>ROUND((K31-F31)*$N$20+M31-H31,2)</f>
        <v>13209.44</v>
      </c>
      <c r="O31" s="160">
        <f>ROUND(N31*$N$21*(1+$N$17)*$N$19,2)</f>
        <v>19021.59</v>
      </c>
      <c r="P31" s="160">
        <f>N31*N$21*N$19</f>
        <v>15851.328000000001</v>
      </c>
      <c r="Q31" s="160">
        <f>ROUND(O31*$N$18,2)</f>
        <v>26535.119999999999</v>
      </c>
      <c r="R31" s="160">
        <v>396</v>
      </c>
      <c r="S31" s="160">
        <v>4141</v>
      </c>
      <c r="T31" s="160">
        <f>N31-S31</f>
        <v>9068.44</v>
      </c>
      <c r="U31" s="160">
        <f>((S31^2+T31^2)/(2*(S31+T31))+R31)/1000</f>
        <v>4.1578735174844663</v>
      </c>
      <c r="V31" s="160">
        <f>ROUND(N31/2000,3)</f>
        <v>6.6050000000000004</v>
      </c>
      <c r="W31" s="162">
        <f>Q31*(U31+V31)</f>
        <v>285594.14033127239</v>
      </c>
    </row>
    <row r="32" spans="2:23" ht="15" hidden="1" customHeight="1" thickBot="1" x14ac:dyDescent="0.3">
      <c r="B32" s="163"/>
      <c r="C32" s="164"/>
      <c r="D32" s="164"/>
      <c r="E32" s="164"/>
      <c r="F32" s="164"/>
      <c r="G32" s="164"/>
      <c r="H32" s="165"/>
      <c r="I32" s="164"/>
      <c r="J32" s="164"/>
      <c r="K32" s="166"/>
      <c r="L32" s="164"/>
      <c r="M32" s="165"/>
      <c r="N32" s="165"/>
      <c r="O32" s="165">
        <f>ROUND(N32*$N$21*(1+$N$17)*$N$19,2)</f>
        <v>0</v>
      </c>
      <c r="P32" s="165">
        <f>N32*N$21*N$19</f>
        <v>0</v>
      </c>
      <c r="Q32" s="165">
        <f>ROUND(O32*$N$18,2)</f>
        <v>0</v>
      </c>
      <c r="R32" s="165"/>
      <c r="S32" s="165">
        <v>0</v>
      </c>
      <c r="T32" s="165">
        <f>N32-S32</f>
        <v>0</v>
      </c>
      <c r="U32" s="165"/>
      <c r="V32" s="165">
        <f>ROUND(N32/2000,3)</f>
        <v>0</v>
      </c>
      <c r="W32" s="167">
        <f>Q32*(U32+V32)</f>
        <v>0</v>
      </c>
    </row>
    <row r="33" spans="2:23" s="29" customFormat="1" ht="16.5" thickBot="1" x14ac:dyDescent="0.3">
      <c r="B33" s="367" t="s">
        <v>132</v>
      </c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9"/>
      <c r="N33" s="168">
        <f>SUM(N28:N32)</f>
        <v>27911.1</v>
      </c>
      <c r="O33" s="168">
        <f>SUM(O28:O32)</f>
        <v>40191.979999999996</v>
      </c>
      <c r="P33" s="168">
        <f>SUM(P28:P32)</f>
        <v>33493.32</v>
      </c>
      <c r="Q33" s="168">
        <f>SUM(Q28:Q32)</f>
        <v>56067.82</v>
      </c>
      <c r="R33" s="168" t="s">
        <v>179</v>
      </c>
      <c r="S33" s="168" t="s">
        <v>179</v>
      </c>
      <c r="T33" s="168" t="s">
        <v>179</v>
      </c>
      <c r="U33" s="168" t="s">
        <v>179</v>
      </c>
      <c r="V33" s="169" t="s">
        <v>179</v>
      </c>
      <c r="W33" s="170">
        <f>SUM(W28:W32)</f>
        <v>456106.36207301926</v>
      </c>
    </row>
    <row r="34" spans="2:23" x14ac:dyDescent="0.25">
      <c r="B34" s="177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73"/>
    </row>
    <row r="35" spans="2:23" ht="16.5" thickBot="1" x14ac:dyDescent="0.3">
      <c r="B35" s="185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7"/>
      <c r="O35" s="186"/>
      <c r="P35" s="186"/>
      <c r="Q35" s="186"/>
      <c r="R35" s="186"/>
      <c r="S35" s="186"/>
      <c r="T35" s="186"/>
      <c r="U35" s="188" t="s">
        <v>180</v>
      </c>
      <c r="V35" s="189">
        <f>W33/Q33</f>
        <v>8.1349045151571655</v>
      </c>
      <c r="W35" s="190" t="s">
        <v>181</v>
      </c>
    </row>
    <row r="36" spans="2:23" x14ac:dyDescent="0.25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</row>
    <row r="37" spans="2:23" x14ac:dyDescent="0.25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</row>
    <row r="38" spans="2:23" x14ac:dyDescent="0.25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</row>
    <row r="39" spans="2:23" x14ac:dyDescent="0.25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</row>
    <row r="40" spans="2:23" x14ac:dyDescent="0.25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</row>
    <row r="41" spans="2:23" x14ac:dyDescent="0.25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</row>
    <row r="42" spans="2:23" x14ac:dyDescent="0.25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</row>
    <row r="43" spans="2:23" x14ac:dyDescent="0.25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</row>
    <row r="44" spans="2:23" x14ac:dyDescent="0.25"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</row>
    <row r="45" spans="2:23" x14ac:dyDescent="0.25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</row>
    <row r="46" spans="2:23" x14ac:dyDescent="0.25"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</row>
    <row r="47" spans="2:23" x14ac:dyDescent="0.25"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 spans="2:23" x14ac:dyDescent="0.25"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</row>
    <row r="49" spans="2:23" x14ac:dyDescent="0.25"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</row>
    <row r="50" spans="2:23" x14ac:dyDescent="0.25"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</row>
    <row r="51" spans="2:23" x14ac:dyDescent="0.25"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</row>
    <row r="52" spans="2:23" x14ac:dyDescent="0.25"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</row>
    <row r="53" spans="2:23" x14ac:dyDescent="0.25"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</row>
    <row r="54" spans="2:23" x14ac:dyDescent="0.25"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</row>
    <row r="55" spans="2:23" x14ac:dyDescent="0.25"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</row>
    <row r="56" spans="2:23" x14ac:dyDescent="0.25"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 spans="2:23" x14ac:dyDescent="0.25"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</row>
    <row r="58" spans="2:23" x14ac:dyDescent="0.25"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</row>
    <row r="59" spans="2:23" x14ac:dyDescent="0.25"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</row>
    <row r="60" spans="2:23" x14ac:dyDescent="0.25"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</row>
    <row r="61" spans="2:23" x14ac:dyDescent="0.25"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</row>
    <row r="62" spans="2:23" x14ac:dyDescent="0.25"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</row>
    <row r="63" spans="2:23" x14ac:dyDescent="0.25"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</row>
    <row r="64" spans="2:23" x14ac:dyDescent="0.25"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</row>
    <row r="65" spans="2:23" x14ac:dyDescent="0.25"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  <row r="66" spans="2:23" x14ac:dyDescent="0.25"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</row>
    <row r="67" spans="2:23" x14ac:dyDescent="0.25"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</row>
    <row r="68" spans="2:23" x14ac:dyDescent="0.25"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</row>
    <row r="69" spans="2:23" x14ac:dyDescent="0.25"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</row>
    <row r="70" spans="2:23" x14ac:dyDescent="0.25"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</row>
    <row r="71" spans="2:23" x14ac:dyDescent="0.2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</row>
    <row r="72" spans="2:23" x14ac:dyDescent="0.25"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</row>
    <row r="73" spans="2:23" x14ac:dyDescent="0.2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</row>
    <row r="74" spans="2:23" x14ac:dyDescent="0.25"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</row>
    <row r="75" spans="2:23" x14ac:dyDescent="0.25"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</row>
    <row r="76" spans="2:23" x14ac:dyDescent="0.2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</row>
    <row r="77" spans="2:23" x14ac:dyDescent="0.25"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</row>
    <row r="78" spans="2:23" x14ac:dyDescent="0.25"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</row>
    <row r="79" spans="2:23" x14ac:dyDescent="0.25"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</row>
    <row r="80" spans="2:23" x14ac:dyDescent="0.25"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</row>
    <row r="81" spans="2:23" x14ac:dyDescent="0.25"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</row>
    <row r="82" spans="2:23" x14ac:dyDescent="0.25"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</row>
    <row r="83" spans="2:23" x14ac:dyDescent="0.25"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</row>
    <row r="84" spans="2:23" x14ac:dyDescent="0.25"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</row>
    <row r="85" spans="2:23" x14ac:dyDescent="0.25"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</row>
    <row r="86" spans="2:23" x14ac:dyDescent="0.25"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</row>
    <row r="87" spans="2:23" x14ac:dyDescent="0.25"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</row>
    <row r="88" spans="2:23" x14ac:dyDescent="0.25"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</row>
    <row r="89" spans="2:23" x14ac:dyDescent="0.25"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</row>
    <row r="90" spans="2:23" x14ac:dyDescent="0.25"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</row>
    <row r="91" spans="2:23" x14ac:dyDescent="0.25"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</row>
    <row r="92" spans="2:23" x14ac:dyDescent="0.25"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</row>
    <row r="93" spans="2:23" x14ac:dyDescent="0.25"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</row>
    <row r="94" spans="2:23" x14ac:dyDescent="0.25"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</row>
    <row r="95" spans="2:23" x14ac:dyDescent="0.25"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</row>
    <row r="96" spans="2:23" x14ac:dyDescent="0.25"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</row>
    <row r="97" spans="2:23" x14ac:dyDescent="0.25"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</row>
    <row r="98" spans="2:23" x14ac:dyDescent="0.25"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</row>
    <row r="99" spans="2:23" x14ac:dyDescent="0.25"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</row>
    <row r="100" spans="2:23" x14ac:dyDescent="0.25"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</row>
    <row r="101" spans="2:23" x14ac:dyDescent="0.25"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</row>
    <row r="102" spans="2:23" x14ac:dyDescent="0.25"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</row>
    <row r="103" spans="2:23" x14ac:dyDescent="0.25"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</row>
    <row r="104" spans="2:23" x14ac:dyDescent="0.25"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</row>
    <row r="105" spans="2:23" x14ac:dyDescent="0.25"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</row>
    <row r="106" spans="2:23" x14ac:dyDescent="0.25"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</row>
    <row r="107" spans="2:23" x14ac:dyDescent="0.25"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</row>
    <row r="108" spans="2:23" x14ac:dyDescent="0.25"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</row>
    <row r="109" spans="2:23" x14ac:dyDescent="0.25"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</row>
    <row r="110" spans="2:23" x14ac:dyDescent="0.25"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</row>
    <row r="111" spans="2:23" x14ac:dyDescent="0.25"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</row>
    <row r="112" spans="2:23" x14ac:dyDescent="0.25"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</row>
    <row r="113" spans="2:23" x14ac:dyDescent="0.25"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</row>
    <row r="114" spans="2:23" x14ac:dyDescent="0.25"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</row>
    <row r="115" spans="2:23" x14ac:dyDescent="0.25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</row>
    <row r="116" spans="2:23" x14ac:dyDescent="0.25"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</row>
    <row r="117" spans="2:23" x14ac:dyDescent="0.25"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</row>
    <row r="118" spans="2:23" x14ac:dyDescent="0.25"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</row>
    <row r="119" spans="2:23" x14ac:dyDescent="0.25"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</row>
    <row r="120" spans="2:23" x14ac:dyDescent="0.25"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</row>
    <row r="121" spans="2:23" x14ac:dyDescent="0.25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</row>
    <row r="122" spans="2:23" x14ac:dyDescent="0.25"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</row>
    <row r="123" spans="2:23" x14ac:dyDescent="0.25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</row>
    <row r="124" spans="2:23" x14ac:dyDescent="0.25"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</row>
    <row r="125" spans="2:23" x14ac:dyDescent="0.25"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</row>
    <row r="126" spans="2:23" x14ac:dyDescent="0.25"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</row>
  </sheetData>
  <mergeCells count="31">
    <mergeCell ref="B2:W6"/>
    <mergeCell ref="B33:M33"/>
    <mergeCell ref="R25:R26"/>
    <mergeCell ref="S25:S26"/>
    <mergeCell ref="T25:T26"/>
    <mergeCell ref="U25:U26"/>
    <mergeCell ref="D25:D26"/>
    <mergeCell ref="C29:C30"/>
    <mergeCell ref="D29:D30"/>
    <mergeCell ref="V25:V26"/>
    <mergeCell ref="W25:W26"/>
    <mergeCell ref="B25:B26"/>
    <mergeCell ref="C25:C26"/>
    <mergeCell ref="E25:M26"/>
    <mergeCell ref="N25:N26"/>
    <mergeCell ref="O25:O26"/>
    <mergeCell ref="Q25:Q26"/>
    <mergeCell ref="P25:P26"/>
    <mergeCell ref="K21:M21"/>
    <mergeCell ref="C7:O7"/>
    <mergeCell ref="C8:N8"/>
    <mergeCell ref="C9:N9"/>
    <mergeCell ref="C10:L10"/>
    <mergeCell ref="C11:M11"/>
    <mergeCell ref="C12:M12"/>
    <mergeCell ref="B15:W15"/>
    <mergeCell ref="K17:M17"/>
    <mergeCell ref="K18:M18"/>
    <mergeCell ref="K19:M19"/>
    <mergeCell ref="K20:M20"/>
    <mergeCell ref="B14:W14"/>
  </mergeCells>
  <pageMargins left="0.98425196850393704" right="0" top="0.78740157480314965" bottom="0" header="0" footer="0"/>
  <pageSetup paperSize="9" scale="51" fitToHeight="0" orientation="landscape" r:id="rId1"/>
  <headerFooter>
    <oddFooter>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view="pageBreakPreview" topLeftCell="B25" zoomScale="60" zoomScaleNormal="70" workbookViewId="0">
      <selection activeCell="I33" sqref="I33"/>
    </sheetView>
  </sheetViews>
  <sheetFormatPr defaultColWidth="11" defaultRowHeight="15.75" x14ac:dyDescent="0.25"/>
  <cols>
    <col min="2" max="2" width="10.875" customWidth="1"/>
    <col min="3" max="3" width="72.375" customWidth="1"/>
    <col min="4" max="4" width="12" customWidth="1"/>
  </cols>
  <sheetData>
    <row r="3" spans="2:4" ht="16.5" thickBot="1" x14ac:dyDescent="0.3"/>
    <row r="4" spans="2:4" x14ac:dyDescent="0.25">
      <c r="B4" s="280"/>
      <c r="C4" s="281"/>
      <c r="D4" s="282"/>
    </row>
    <row r="5" spans="2:4" x14ac:dyDescent="0.25">
      <c r="B5" s="283"/>
      <c r="C5" s="284"/>
      <c r="D5" s="285"/>
    </row>
    <row r="6" spans="2:4" x14ac:dyDescent="0.25">
      <c r="B6" s="283"/>
      <c r="C6" s="284"/>
      <c r="D6" s="285"/>
    </row>
    <row r="7" spans="2:4" x14ac:dyDescent="0.25">
      <c r="B7" s="283"/>
      <c r="C7" s="284"/>
      <c r="D7" s="285"/>
    </row>
    <row r="8" spans="2:4" x14ac:dyDescent="0.25">
      <c r="B8" s="283"/>
      <c r="C8" s="284"/>
      <c r="D8" s="285"/>
    </row>
    <row r="9" spans="2:4" x14ac:dyDescent="0.25">
      <c r="B9" s="283"/>
      <c r="C9" s="284"/>
      <c r="D9" s="285"/>
    </row>
    <row r="10" spans="2:4" ht="16.5" thickBot="1" x14ac:dyDescent="0.3">
      <c r="B10" s="286"/>
      <c r="C10" s="287"/>
      <c r="D10" s="288"/>
    </row>
    <row r="11" spans="2:4" x14ac:dyDescent="0.25">
      <c r="B11" s="191" t="s">
        <v>274</v>
      </c>
      <c r="C11" s="192"/>
      <c r="D11" s="193"/>
    </row>
    <row r="12" spans="2:4" x14ac:dyDescent="0.25">
      <c r="B12" s="118" t="s">
        <v>275</v>
      </c>
      <c r="C12" s="30"/>
      <c r="D12" s="119"/>
    </row>
    <row r="13" spans="2:4" x14ac:dyDescent="0.25">
      <c r="B13" s="118" t="s">
        <v>276</v>
      </c>
      <c r="C13" s="30"/>
      <c r="D13" s="119"/>
    </row>
    <row r="14" spans="2:4" x14ac:dyDescent="0.25">
      <c r="B14" s="118" t="s">
        <v>277</v>
      </c>
      <c r="C14" s="30"/>
      <c r="D14" s="119"/>
    </row>
    <row r="15" spans="2:4" x14ac:dyDescent="0.25">
      <c r="B15" s="118" t="s">
        <v>336</v>
      </c>
      <c r="C15" s="30"/>
      <c r="D15" s="119"/>
    </row>
    <row r="16" spans="2:4" x14ac:dyDescent="0.25">
      <c r="B16" s="118" t="s">
        <v>54</v>
      </c>
      <c r="C16" s="87">
        <f>'DMT - Trecho 01 e Trecho 02'!$C$12:$M$12</f>
        <v>0.24229999999999999</v>
      </c>
      <c r="D16" s="119"/>
    </row>
    <row r="17" spans="2:4" ht="5.0999999999999996" customHeight="1" thickBot="1" x14ac:dyDescent="0.3">
      <c r="B17" s="118"/>
      <c r="C17" s="30"/>
      <c r="D17" s="119"/>
    </row>
    <row r="18" spans="2:4" ht="16.5" thickBot="1" x14ac:dyDescent="0.3">
      <c r="B18" s="338" t="s">
        <v>182</v>
      </c>
      <c r="C18" s="339"/>
      <c r="D18" s="378"/>
    </row>
    <row r="19" spans="2:4" x14ac:dyDescent="0.25">
      <c r="B19" s="118" t="s">
        <v>186</v>
      </c>
      <c r="C19" s="30"/>
      <c r="D19" s="119"/>
    </row>
    <row r="20" spans="2:4" ht="5.0999999999999996" customHeight="1" x14ac:dyDescent="0.25">
      <c r="B20" s="118"/>
      <c r="C20" s="30"/>
      <c r="D20" s="119"/>
    </row>
    <row r="21" spans="2:4" x14ac:dyDescent="0.25">
      <c r="B21" s="194" t="s">
        <v>187</v>
      </c>
      <c r="C21" s="30"/>
      <c r="D21" s="119"/>
    </row>
    <row r="22" spans="2:4" ht="5.0999999999999996" customHeight="1" x14ac:dyDescent="0.25">
      <c r="B22" s="118"/>
      <c r="C22" s="30"/>
      <c r="D22" s="119"/>
    </row>
    <row r="23" spans="2:4" x14ac:dyDescent="0.25">
      <c r="B23" s="118"/>
      <c r="C23" s="30" t="s">
        <v>185</v>
      </c>
      <c r="D23" s="119"/>
    </row>
    <row r="24" spans="2:4" x14ac:dyDescent="0.25">
      <c r="B24" s="118"/>
      <c r="C24" s="30" t="s">
        <v>190</v>
      </c>
      <c r="D24" s="119"/>
    </row>
    <row r="25" spans="2:4" x14ac:dyDescent="0.25">
      <c r="B25" s="118"/>
      <c r="C25" s="30" t="s">
        <v>191</v>
      </c>
      <c r="D25" s="119"/>
    </row>
    <row r="26" spans="2:4" x14ac:dyDescent="0.25">
      <c r="B26" s="118"/>
      <c r="C26" s="30" t="s">
        <v>192</v>
      </c>
      <c r="D26" s="119"/>
    </row>
    <row r="27" spans="2:4" x14ac:dyDescent="0.25">
      <c r="B27" s="118"/>
      <c r="C27" s="30" t="s">
        <v>193</v>
      </c>
      <c r="D27" s="119"/>
    </row>
    <row r="28" spans="2:4" x14ac:dyDescent="0.25">
      <c r="B28" s="118"/>
      <c r="C28" s="30" t="s">
        <v>194</v>
      </c>
      <c r="D28" s="119"/>
    </row>
    <row r="29" spans="2:4" ht="5.0999999999999996" customHeight="1" thickBot="1" x14ac:dyDescent="0.3">
      <c r="B29" s="118"/>
      <c r="C29" s="30"/>
      <c r="D29" s="119"/>
    </row>
    <row r="30" spans="2:4" ht="16.5" thickBot="1" x14ac:dyDescent="0.3">
      <c r="B30" s="201" t="s">
        <v>0</v>
      </c>
      <c r="C30" s="201" t="s">
        <v>1</v>
      </c>
      <c r="D30" s="201" t="s">
        <v>189</v>
      </c>
    </row>
    <row r="31" spans="2:4" x14ac:dyDescent="0.25">
      <c r="B31" s="195" t="s">
        <v>188</v>
      </c>
      <c r="C31" s="30" t="s">
        <v>183</v>
      </c>
      <c r="D31" s="119"/>
    </row>
    <row r="32" spans="2:4" x14ac:dyDescent="0.25">
      <c r="B32" s="195"/>
      <c r="C32" s="30" t="s">
        <v>183</v>
      </c>
      <c r="D32" s="196">
        <v>4.5999999999999999E-2</v>
      </c>
    </row>
    <row r="33" spans="2:4" x14ac:dyDescent="0.25">
      <c r="B33" s="195"/>
      <c r="C33" s="30" t="s">
        <v>195</v>
      </c>
      <c r="D33" s="196">
        <f>D32</f>
        <v>4.5999999999999999E-2</v>
      </c>
    </row>
    <row r="34" spans="2:4" ht="5.0999999999999996" customHeight="1" x14ac:dyDescent="0.25">
      <c r="B34" s="195"/>
      <c r="C34" s="30"/>
      <c r="D34" s="119"/>
    </row>
    <row r="35" spans="2:4" x14ac:dyDescent="0.25">
      <c r="B35" s="197" t="s">
        <v>196</v>
      </c>
      <c r="C35" s="60" t="s">
        <v>184</v>
      </c>
      <c r="D35" s="196"/>
    </row>
    <row r="36" spans="2:4" x14ac:dyDescent="0.25">
      <c r="B36" s="195"/>
      <c r="C36" s="30" t="s">
        <v>184</v>
      </c>
      <c r="D36" s="196">
        <v>1.21E-2</v>
      </c>
    </row>
    <row r="37" spans="2:4" x14ac:dyDescent="0.25">
      <c r="B37" s="195"/>
      <c r="C37" s="198" t="s">
        <v>197</v>
      </c>
      <c r="D37" s="199">
        <f>D36</f>
        <v>1.21E-2</v>
      </c>
    </row>
    <row r="38" spans="2:4" ht="5.0999999999999996" customHeight="1" x14ac:dyDescent="0.25">
      <c r="B38" s="195"/>
      <c r="C38" s="30"/>
      <c r="D38" s="119"/>
    </row>
    <row r="39" spans="2:4" x14ac:dyDescent="0.25">
      <c r="B39" s="197" t="s">
        <v>200</v>
      </c>
      <c r="C39" s="60" t="s">
        <v>201</v>
      </c>
      <c r="D39" s="119"/>
    </row>
    <row r="40" spans="2:4" x14ac:dyDescent="0.25">
      <c r="B40" s="195"/>
      <c r="C40" s="30" t="s">
        <v>212</v>
      </c>
      <c r="D40" s="196">
        <v>3.0000000000000001E-3</v>
      </c>
    </row>
    <row r="41" spans="2:4" x14ac:dyDescent="0.25">
      <c r="B41" s="195"/>
      <c r="C41" s="198" t="s">
        <v>202</v>
      </c>
      <c r="D41" s="199">
        <f>D40</f>
        <v>3.0000000000000001E-3</v>
      </c>
    </row>
    <row r="42" spans="2:4" ht="5.0999999999999996" customHeight="1" x14ac:dyDescent="0.25">
      <c r="B42" s="195"/>
      <c r="C42" s="30"/>
      <c r="D42" s="119"/>
    </row>
    <row r="43" spans="2:4" x14ac:dyDescent="0.25">
      <c r="B43" s="197" t="s">
        <v>198</v>
      </c>
      <c r="C43" s="60" t="s">
        <v>199</v>
      </c>
      <c r="D43" s="119"/>
    </row>
    <row r="44" spans="2:4" x14ac:dyDescent="0.25">
      <c r="B44" s="195"/>
      <c r="C44" s="30" t="s">
        <v>211</v>
      </c>
      <c r="D44" s="196">
        <v>9.7000000000000003E-3</v>
      </c>
    </row>
    <row r="45" spans="2:4" x14ac:dyDescent="0.25">
      <c r="B45" s="195"/>
      <c r="C45" s="198" t="s">
        <v>203</v>
      </c>
      <c r="D45" s="199">
        <f>D44</f>
        <v>9.7000000000000003E-3</v>
      </c>
    </row>
    <row r="46" spans="2:4" ht="5.0999999999999996" customHeight="1" x14ac:dyDescent="0.25">
      <c r="B46" s="195"/>
      <c r="C46" s="30"/>
      <c r="D46" s="119"/>
    </row>
    <row r="47" spans="2:4" x14ac:dyDescent="0.25">
      <c r="B47" s="197" t="s">
        <v>204</v>
      </c>
      <c r="C47" s="60" t="s">
        <v>205</v>
      </c>
      <c r="D47" s="200"/>
    </row>
    <row r="48" spans="2:4" x14ac:dyDescent="0.25">
      <c r="B48" s="195"/>
      <c r="C48" s="30" t="s">
        <v>210</v>
      </c>
      <c r="D48" s="196">
        <v>3.0000000000000001E-3</v>
      </c>
    </row>
    <row r="49" spans="2:4" x14ac:dyDescent="0.25">
      <c r="B49" s="195"/>
      <c r="C49" s="198" t="s">
        <v>206</v>
      </c>
      <c r="D49" s="199">
        <f>D48</f>
        <v>3.0000000000000001E-3</v>
      </c>
    </row>
    <row r="50" spans="2:4" ht="5.0999999999999996" customHeight="1" x14ac:dyDescent="0.25">
      <c r="B50" s="195"/>
      <c r="C50" s="30"/>
      <c r="D50" s="119"/>
    </row>
    <row r="51" spans="2:4" x14ac:dyDescent="0.25">
      <c r="B51" s="197" t="s">
        <v>207</v>
      </c>
      <c r="C51" s="60" t="s">
        <v>209</v>
      </c>
      <c r="D51" s="119"/>
    </row>
    <row r="52" spans="2:4" x14ac:dyDescent="0.25">
      <c r="B52" s="195"/>
      <c r="C52" s="30" t="s">
        <v>208</v>
      </c>
      <c r="D52" s="196"/>
    </row>
    <row r="53" spans="2:4" x14ac:dyDescent="0.25">
      <c r="B53" s="195"/>
      <c r="C53" s="198" t="s">
        <v>213</v>
      </c>
      <c r="D53" s="199">
        <v>7.9200000000000007E-2</v>
      </c>
    </row>
    <row r="54" spans="2:4" ht="5.0999999999999996" customHeight="1" x14ac:dyDescent="0.25">
      <c r="B54" s="195"/>
      <c r="C54" s="30"/>
      <c r="D54" s="119"/>
    </row>
    <row r="55" spans="2:4" x14ac:dyDescent="0.25">
      <c r="B55" s="197" t="s">
        <v>214</v>
      </c>
      <c r="C55" s="60" t="s">
        <v>215</v>
      </c>
      <c r="D55" s="119"/>
    </row>
    <row r="56" spans="2:4" x14ac:dyDescent="0.25">
      <c r="B56" s="195"/>
      <c r="C56" s="30" t="s">
        <v>216</v>
      </c>
      <c r="D56" s="196">
        <v>6.4999999999999997E-3</v>
      </c>
    </row>
    <row r="57" spans="2:4" x14ac:dyDescent="0.25">
      <c r="B57" s="195"/>
      <c r="C57" s="30" t="s">
        <v>217</v>
      </c>
      <c r="D57" s="196">
        <v>0.03</v>
      </c>
    </row>
    <row r="58" spans="2:4" x14ac:dyDescent="0.25">
      <c r="B58" s="195"/>
      <c r="C58" s="30" t="s">
        <v>218</v>
      </c>
      <c r="D58" s="196">
        <v>0.03</v>
      </c>
    </row>
    <row r="59" spans="2:4" x14ac:dyDescent="0.25">
      <c r="B59" s="195"/>
      <c r="C59" s="30" t="s">
        <v>219</v>
      </c>
      <c r="D59" s="196">
        <v>0</v>
      </c>
    </row>
    <row r="60" spans="2:4" x14ac:dyDescent="0.25">
      <c r="B60" s="195"/>
      <c r="C60" s="60" t="s">
        <v>220</v>
      </c>
      <c r="D60" s="199">
        <f>D56+D57+D58+D59</f>
        <v>6.6500000000000004E-2</v>
      </c>
    </row>
    <row r="61" spans="2:4" ht="5.0999999999999996" customHeight="1" thickBot="1" x14ac:dyDescent="0.3">
      <c r="B61" s="195"/>
      <c r="C61" s="30"/>
      <c r="D61" s="119"/>
    </row>
    <row r="62" spans="2:4" ht="16.5" thickBot="1" x14ac:dyDescent="0.3">
      <c r="B62" s="202"/>
      <c r="C62" s="203" t="s">
        <v>221</v>
      </c>
      <c r="D62" s="204">
        <f>(((1+D33+D41+D45+D49)*(1+D37)*(1+D53))/(1-D60))-1</f>
        <v>0.242261015901446</v>
      </c>
    </row>
    <row r="63" spans="2:4" x14ac:dyDescent="0.25">
      <c r="B63" s="1"/>
    </row>
  </sheetData>
  <mergeCells count="2">
    <mergeCell ref="B18:D18"/>
    <mergeCell ref="B4:D10"/>
  </mergeCells>
  <pageMargins left="0.70866141732283472" right="0.11811023622047245" top="0.78740157480314965" bottom="0.78740157480314965" header="0.31496062992125984" footer="0.31496062992125984"/>
  <pageSetup paperSize="9" scale="90" orientation="portrait" horizontalDpi="360" verticalDpi="360" r:id="rId1"/>
  <headerFooter>
    <oddFooter>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0"/>
  <sheetViews>
    <sheetView view="pageBreakPreview" topLeftCell="A43" zoomScale="60" zoomScaleNormal="70" workbookViewId="0">
      <selection activeCell="P33" sqref="P33"/>
    </sheetView>
  </sheetViews>
  <sheetFormatPr defaultColWidth="11" defaultRowHeight="15.75" x14ac:dyDescent="0.25"/>
  <sheetData>
    <row r="1" spans="2:14" ht="16.5" thickBot="1" x14ac:dyDescent="0.3"/>
    <row r="2" spans="2:14" x14ac:dyDescent="0.25">
      <c r="B2" s="280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2"/>
    </row>
    <row r="3" spans="2:14" x14ac:dyDescent="0.25"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</row>
    <row r="4" spans="2:14" x14ac:dyDescent="0.25"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2:14" x14ac:dyDescent="0.25">
      <c r="B5" s="283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5"/>
    </row>
    <row r="6" spans="2:14" x14ac:dyDescent="0.25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5"/>
    </row>
    <row r="7" spans="2:14" x14ac:dyDescent="0.25">
      <c r="B7" s="283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5"/>
    </row>
    <row r="8" spans="2:14" x14ac:dyDescent="0.25">
      <c r="B8" s="283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5"/>
    </row>
    <row r="9" spans="2:14" ht="16.5" thickBot="1" x14ac:dyDescent="0.3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</row>
    <row r="10" spans="2:14" x14ac:dyDescent="0.25">
      <c r="B10" s="280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2"/>
    </row>
    <row r="11" spans="2:14" x14ac:dyDescent="0.25">
      <c r="B11" s="283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5"/>
    </row>
    <row r="12" spans="2:14" x14ac:dyDescent="0.25">
      <c r="B12" s="283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5"/>
    </row>
    <row r="13" spans="2:14" x14ac:dyDescent="0.25">
      <c r="B13" s="283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5"/>
    </row>
    <row r="14" spans="2:14" x14ac:dyDescent="0.25">
      <c r="B14" s="283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5"/>
    </row>
    <row r="15" spans="2:14" x14ac:dyDescent="0.25">
      <c r="B15" s="283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5"/>
    </row>
    <row r="16" spans="2:14" x14ac:dyDescent="0.25">
      <c r="B16" s="283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5"/>
    </row>
    <row r="17" spans="2:14" x14ac:dyDescent="0.25">
      <c r="B17" s="283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5"/>
    </row>
    <row r="18" spans="2:14" x14ac:dyDescent="0.25"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5"/>
    </row>
    <row r="19" spans="2:14" x14ac:dyDescent="0.25">
      <c r="B19" s="283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5"/>
    </row>
    <row r="20" spans="2:14" x14ac:dyDescent="0.25">
      <c r="B20" s="283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5"/>
    </row>
    <row r="21" spans="2:14" x14ac:dyDescent="0.25">
      <c r="B21" s="283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5"/>
    </row>
    <row r="22" spans="2:14" x14ac:dyDescent="0.25">
      <c r="B22" s="283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5"/>
    </row>
    <row r="23" spans="2:14" x14ac:dyDescent="0.25">
      <c r="B23" s="283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5"/>
    </row>
    <row r="24" spans="2:14" x14ac:dyDescent="0.25">
      <c r="B24" s="283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5"/>
    </row>
    <row r="25" spans="2:14" x14ac:dyDescent="0.25">
      <c r="B25" s="283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5"/>
    </row>
    <row r="26" spans="2:14" x14ac:dyDescent="0.25">
      <c r="B26" s="283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5"/>
    </row>
    <row r="27" spans="2:14" x14ac:dyDescent="0.25">
      <c r="B27" s="283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5"/>
    </row>
    <row r="28" spans="2:14" x14ac:dyDescent="0.25">
      <c r="B28" s="283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5"/>
    </row>
    <row r="29" spans="2:14" x14ac:dyDescent="0.25">
      <c r="B29" s="283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5"/>
    </row>
    <row r="30" spans="2:14" x14ac:dyDescent="0.25">
      <c r="B30" s="283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5"/>
    </row>
    <row r="31" spans="2:14" x14ac:dyDescent="0.25">
      <c r="B31" s="283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5"/>
    </row>
    <row r="32" spans="2:14" x14ac:dyDescent="0.25">
      <c r="B32" s="283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5"/>
    </row>
    <row r="33" spans="2:14" x14ac:dyDescent="0.25">
      <c r="B33" s="283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5"/>
    </row>
    <row r="34" spans="2:14" x14ac:dyDescent="0.25">
      <c r="B34" s="283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5"/>
    </row>
    <row r="35" spans="2:14" x14ac:dyDescent="0.25">
      <c r="B35" s="283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5"/>
    </row>
    <row r="36" spans="2:14" x14ac:dyDescent="0.25">
      <c r="B36" s="283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5"/>
    </row>
    <row r="37" spans="2:14" x14ac:dyDescent="0.25">
      <c r="B37" s="283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5"/>
    </row>
    <row r="38" spans="2:14" x14ac:dyDescent="0.25">
      <c r="B38" s="283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5"/>
    </row>
    <row r="39" spans="2:14" x14ac:dyDescent="0.25">
      <c r="B39" s="283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5"/>
    </row>
    <row r="40" spans="2:14" x14ac:dyDescent="0.25">
      <c r="B40" s="283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5"/>
    </row>
    <row r="41" spans="2:14" x14ac:dyDescent="0.25">
      <c r="B41" s="283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5"/>
    </row>
    <row r="42" spans="2:14" x14ac:dyDescent="0.25">
      <c r="B42" s="283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5"/>
    </row>
    <row r="43" spans="2:14" x14ac:dyDescent="0.25">
      <c r="B43" s="283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5"/>
    </row>
    <row r="44" spans="2:14" x14ac:dyDescent="0.25">
      <c r="B44" s="283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5"/>
    </row>
    <row r="45" spans="2:14" x14ac:dyDescent="0.25">
      <c r="B45" s="283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5"/>
    </row>
    <row r="46" spans="2:14" x14ac:dyDescent="0.25">
      <c r="B46" s="283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5"/>
    </row>
    <row r="47" spans="2:14" x14ac:dyDescent="0.25">
      <c r="B47" s="283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5"/>
    </row>
    <row r="48" spans="2:14" x14ac:dyDescent="0.25">
      <c r="B48" s="283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5"/>
    </row>
    <row r="49" spans="2:14" x14ac:dyDescent="0.25">
      <c r="B49" s="283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5"/>
    </row>
    <row r="50" spans="2:14" x14ac:dyDescent="0.25">
      <c r="B50" s="283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5"/>
    </row>
    <row r="51" spans="2:14" x14ac:dyDescent="0.25">
      <c r="B51" s="283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5"/>
    </row>
    <row r="52" spans="2:14" x14ac:dyDescent="0.25">
      <c r="B52" s="283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5"/>
    </row>
    <row r="53" spans="2:14" x14ac:dyDescent="0.25"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5"/>
    </row>
    <row r="54" spans="2:14" x14ac:dyDescent="0.25">
      <c r="B54" s="283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5"/>
    </row>
    <row r="55" spans="2:14" x14ac:dyDescent="0.25">
      <c r="B55" s="283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5"/>
    </row>
    <row r="56" spans="2:14" x14ac:dyDescent="0.25">
      <c r="B56" s="283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5"/>
    </row>
    <row r="57" spans="2:14" x14ac:dyDescent="0.25">
      <c r="B57" s="283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5"/>
    </row>
    <row r="58" spans="2:14" x14ac:dyDescent="0.25">
      <c r="B58" s="283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5"/>
    </row>
    <row r="59" spans="2:14" x14ac:dyDescent="0.25">
      <c r="B59" s="283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5"/>
    </row>
    <row r="60" spans="2:14" x14ac:dyDescent="0.25">
      <c r="B60" s="283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5"/>
    </row>
    <row r="61" spans="2:14" x14ac:dyDescent="0.25">
      <c r="B61" s="283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5"/>
    </row>
    <row r="62" spans="2:14" x14ac:dyDescent="0.25">
      <c r="B62" s="283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5"/>
    </row>
    <row r="63" spans="2:14" x14ac:dyDescent="0.25">
      <c r="B63" s="283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5"/>
    </row>
    <row r="64" spans="2:14" x14ac:dyDescent="0.25">
      <c r="B64" s="283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5"/>
    </row>
    <row r="65" spans="2:14" x14ac:dyDescent="0.25">
      <c r="B65" s="283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5"/>
    </row>
    <row r="66" spans="2:14" x14ac:dyDescent="0.25">
      <c r="B66" s="283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5"/>
    </row>
    <row r="67" spans="2:14" x14ac:dyDescent="0.25">
      <c r="B67" s="283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5"/>
    </row>
    <row r="68" spans="2:14" x14ac:dyDescent="0.25">
      <c r="B68" s="283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5"/>
    </row>
    <row r="69" spans="2:14" x14ac:dyDescent="0.25">
      <c r="B69" s="283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5"/>
    </row>
    <row r="70" spans="2:14" x14ac:dyDescent="0.25">
      <c r="B70" s="283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5"/>
    </row>
    <row r="71" spans="2:14" x14ac:dyDescent="0.25">
      <c r="B71" s="283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5"/>
    </row>
    <row r="72" spans="2:14" x14ac:dyDescent="0.25">
      <c r="B72" s="283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5"/>
    </row>
    <row r="73" spans="2:14" x14ac:dyDescent="0.25">
      <c r="B73" s="283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5"/>
    </row>
    <row r="74" spans="2:14" x14ac:dyDescent="0.25">
      <c r="B74" s="283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5"/>
    </row>
    <row r="75" spans="2:14" x14ac:dyDescent="0.25">
      <c r="B75" s="283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5"/>
    </row>
    <row r="76" spans="2:14" x14ac:dyDescent="0.25">
      <c r="B76" s="283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5"/>
    </row>
    <row r="77" spans="2:14" x14ac:dyDescent="0.25">
      <c r="B77" s="283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5"/>
    </row>
    <row r="78" spans="2:14" x14ac:dyDescent="0.25">
      <c r="B78" s="283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5"/>
    </row>
    <row r="79" spans="2:14" x14ac:dyDescent="0.25">
      <c r="B79" s="283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5"/>
    </row>
    <row r="80" spans="2:14" ht="16.5" thickBot="1" x14ac:dyDescent="0.3">
      <c r="B80" s="286"/>
      <c r="C80" s="287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8"/>
    </row>
  </sheetData>
  <mergeCells count="2">
    <mergeCell ref="B10:N80"/>
    <mergeCell ref="B2:N9"/>
  </mergeCells>
  <pageMargins left="0.9055118110236221" right="0.31496062992125984" top="0.78740157480314965" bottom="0.78740157480314965" header="0.31496062992125984" footer="0.31496062992125984"/>
  <pageSetup paperSize="9" scale="57" orientation="portrait" horizontalDpi="360" verticalDpi="36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ORÇAMENTO SINTETICO</vt:lpstr>
      <vt:lpstr>ORÇAMENTO GERAL</vt:lpstr>
      <vt:lpstr>CPMPOSIÇÃO DE PREÇOS UNITÁRIOS </vt:lpstr>
      <vt:lpstr>CRONOGRAMA FF</vt:lpstr>
      <vt:lpstr>MEMÓRIA DE CÁLCULO</vt:lpstr>
      <vt:lpstr>COMPOSIÇÃO PROJETO EXECUTIVO</vt:lpstr>
      <vt:lpstr>DMT - Trecho 01 e Trecho 02</vt:lpstr>
      <vt:lpstr>BDI</vt:lpstr>
      <vt:lpstr>ENCARGOS SOCIAIS</vt:lpstr>
      <vt:lpstr>BDI!Area_de_impressao</vt:lpstr>
      <vt:lpstr>'COMPOSIÇÃO PROJETO EXECUTIVO'!Area_de_impressao</vt:lpstr>
      <vt:lpstr>'CPMPOSIÇÃO DE PREÇOS UNITÁRIOS '!Area_de_impressao</vt:lpstr>
      <vt:lpstr>'CRONOGRAMA FF'!Area_de_impressao</vt:lpstr>
      <vt:lpstr>'DMT - Trecho 01 e Trecho 02'!Area_de_impressao</vt:lpstr>
      <vt:lpstr>'ENCARGOS SOCIAIS'!Area_de_impressao</vt:lpstr>
      <vt:lpstr>'MEMÓRIA DE CÁLCULO'!Area_de_impressao</vt:lpstr>
      <vt:lpstr>'ORÇAMENTO GERAL'!Area_de_impressao</vt:lpstr>
      <vt:lpstr>'CPMPOSIÇÃO DE PREÇOS UNITÁRIOS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</cp:lastModifiedBy>
  <cp:lastPrinted>2023-07-19T16:01:24Z</cp:lastPrinted>
  <dcterms:created xsi:type="dcterms:W3CDTF">2023-02-11T20:10:11Z</dcterms:created>
  <dcterms:modified xsi:type="dcterms:W3CDTF">2023-12-21T13:05:42Z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2023-11-10T00:17:18Z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0350073e-d165-4e17-80da-4a224cc4aad2</vt:lpwstr>
  </property>
  <property fmtid="{D5CDD505-2E9C-101B-9397-08002B2CF9AE}" pid="7" name="MSIP_Label_defa4170-0d19-0005-0004-bc88714345d2_ActionId">
    <vt:lpwstr>3c5c4544-b14b-44f8-8354-f0e6ef5166b4</vt:lpwstr>
  </property>
  <property fmtid="{D5CDD505-2E9C-101B-9397-08002B2CF9AE}" pid="8" name="MSIP_Label_defa4170-0d19-0005-0004-bc88714345d2_ContentBits">
    <vt:lpwstr>0</vt:lpwstr>
  </property>
</Properties>
</file>