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0490" windowHeight="8820" tabRatio="821" firstSheet="3" activeTab="4"/>
  </bookViews>
  <sheets>
    <sheet name="IBGE 2010" sheetId="1" r:id="rId1"/>
    <sheet name="Área" sheetId="3" r:id="rId2"/>
    <sheet name="Microrregiões" sheetId="4" r:id="rId3"/>
    <sheet name="ORÇ.SINTETICO" sheetId="6" r:id="rId4"/>
    <sheet name="PLANILHA ORÇAMENTÁRIA" sheetId="5" r:id="rId5"/>
    <sheet name="MEMORIA DE CALCULO" sheetId="7" r:id="rId6"/>
    <sheet name="COMPOSIÇÕES" sheetId="8" r:id="rId7"/>
    <sheet name="CRONOGRAMA" sheetId="9" r:id="rId8"/>
    <sheet name="BDI" sheetId="10" r:id="rId9"/>
    <sheet name="ENCARGOS" sheetId="17" r:id="rId10"/>
    <sheet name="CURVA ABC" sheetId="20" r:id="rId11"/>
    <sheet name="ESTRADAS VICINAIS" sheetId="19" r:id="rId12"/>
  </sheets>
  <definedNames>
    <definedName name="_xlnm._FilterDatabase" localSheetId="6" hidden="1">COMPOSIÇÕES!$B$10:$Q$557</definedName>
    <definedName name="_xlnm._FilterDatabase" localSheetId="10" hidden="1">'CURVA ABC'!$B$9:$O$9</definedName>
    <definedName name="_xlnm._FilterDatabase" localSheetId="0" hidden="1">'IBGE 2010'!$A$3:$B$220</definedName>
    <definedName name="_xlnm._FilterDatabase" localSheetId="2" hidden="1">Microrregiões!$A$1:$C$218</definedName>
    <definedName name="_xlnm.Print_Area" localSheetId="10">'CURVA ABC'!$A$1:$L$83</definedName>
    <definedName name="_xlnm.Print_Area" localSheetId="5">'MEMORIA DE CALCULO'!$B$2:$Q$78</definedName>
    <definedName name="_xlnm.Print_Area" localSheetId="4">'PLANILHA ORÇAMENTÁRIA'!$B$2:$I$91</definedName>
    <definedName name="_xlnm.Print_Titles" localSheetId="10">'CURVA ABC'!$1:$9</definedName>
    <definedName name="_xlnm.Print_Titles" localSheetId="11">'ESTRADAS VICINAIS'!$1:$3</definedName>
  </definedNames>
  <calcPr calcId="162913"/>
</workbook>
</file>

<file path=xl/calcChain.xml><?xml version="1.0" encoding="utf-8"?>
<calcChain xmlns="http://schemas.openxmlformats.org/spreadsheetml/2006/main">
  <c r="K533" i="8" l="1"/>
  <c r="O11" i="20" l="1"/>
  <c r="J82" i="20" s="1"/>
  <c r="I7" i="20"/>
  <c r="I6" i="20"/>
  <c r="E6" i="20"/>
  <c r="I5" i="20"/>
  <c r="E5" i="20"/>
  <c r="I4" i="20"/>
  <c r="E4" i="20"/>
  <c r="I85" i="5"/>
  <c r="I83" i="5" s="1"/>
  <c r="I87" i="5"/>
  <c r="I88" i="5"/>
  <c r="I89" i="5"/>
  <c r="I72" i="5"/>
  <c r="I57" i="5"/>
  <c r="I20" i="5"/>
  <c r="I11" i="5"/>
  <c r="H85" i="5"/>
  <c r="L525" i="8"/>
  <c r="L556" i="8"/>
  <c r="L547" i="8"/>
  <c r="L538" i="8"/>
  <c r="L522" i="8"/>
  <c r="L519" i="8"/>
  <c r="L511" i="8"/>
  <c r="L505" i="8"/>
  <c r="L502" i="8"/>
  <c r="L499" i="8"/>
  <c r="L496" i="8"/>
  <c r="L487" i="8"/>
  <c r="L476" i="8"/>
  <c r="L466" i="8"/>
  <c r="L459" i="8"/>
  <c r="L451" i="8"/>
  <c r="L437" i="8"/>
  <c r="L425" i="8"/>
  <c r="L420" i="8"/>
  <c r="L412" i="8"/>
  <c r="L402" i="8"/>
  <c r="L394" i="8"/>
  <c r="L398" i="8"/>
  <c r="L389" i="8"/>
  <c r="L384" i="8"/>
  <c r="L379" i="8"/>
  <c r="L375" i="8"/>
  <c r="L370" i="8"/>
  <c r="L365" i="8"/>
  <c r="L359" i="8"/>
  <c r="L341" i="8"/>
  <c r="L334" i="8"/>
  <c r="L327" i="8"/>
  <c r="L320" i="8"/>
  <c r="L313" i="8"/>
  <c r="L304" i="8"/>
  <c r="L284" i="8"/>
  <c r="L277" i="8"/>
  <c r="L268" i="8"/>
  <c r="L253" i="8"/>
  <c r="L245" i="8"/>
  <c r="L237" i="8"/>
  <c r="L224" i="8"/>
  <c r="L220" i="8"/>
  <c r="L216" i="8"/>
  <c r="L208" i="8"/>
  <c r="L200" i="8"/>
  <c r="L192" i="8"/>
  <c r="L185" i="8"/>
  <c r="L178" i="8"/>
  <c r="L171" i="8"/>
  <c r="L164" i="8"/>
  <c r="L155" i="8"/>
  <c r="L150" i="8"/>
  <c r="L146" i="8"/>
  <c r="L142" i="8"/>
  <c r="L138" i="8"/>
  <c r="L134" i="8"/>
  <c r="L127" i="8"/>
  <c r="L120" i="8"/>
  <c r="L110" i="8"/>
  <c r="L102" i="8"/>
  <c r="L95" i="8"/>
  <c r="L88" i="8"/>
  <c r="L81" i="8"/>
  <c r="L70" i="8"/>
  <c r="L67" i="8"/>
  <c r="L57" i="8"/>
  <c r="L46" i="8"/>
  <c r="L36" i="8"/>
  <c r="L28" i="8"/>
  <c r="L19" i="8"/>
  <c r="G25" i="10"/>
  <c r="J20" i="20" l="1"/>
  <c r="J57" i="20"/>
  <c r="J11" i="20"/>
  <c r="K11" i="20" s="1"/>
  <c r="L11" i="20" s="1"/>
  <c r="J16" i="20"/>
  <c r="J21" i="20"/>
  <c r="J27" i="20"/>
  <c r="J32" i="20"/>
  <c r="J37" i="20"/>
  <c r="J43" i="20"/>
  <c r="J48" i="20"/>
  <c r="J53" i="20"/>
  <c r="J59" i="20"/>
  <c r="J64" i="20"/>
  <c r="J69" i="20"/>
  <c r="J75" i="20"/>
  <c r="J80" i="20"/>
  <c r="J25" i="20"/>
  <c r="J36" i="20"/>
  <c r="J47" i="20"/>
  <c r="J63" i="20"/>
  <c r="J79" i="20"/>
  <c r="J12" i="20"/>
  <c r="J17" i="20"/>
  <c r="J23" i="20"/>
  <c r="J28" i="20"/>
  <c r="J33" i="20"/>
  <c r="J39" i="20"/>
  <c r="J44" i="20"/>
  <c r="J49" i="20"/>
  <c r="J55" i="20"/>
  <c r="J60" i="20"/>
  <c r="J65" i="20"/>
  <c r="J71" i="20"/>
  <c r="J76" i="20"/>
  <c r="J81" i="20"/>
  <c r="J15" i="20"/>
  <c r="J31" i="20"/>
  <c r="J41" i="20"/>
  <c r="J52" i="20"/>
  <c r="J68" i="20"/>
  <c r="J73" i="20"/>
  <c r="J13" i="20"/>
  <c r="J19" i="20"/>
  <c r="J24" i="20"/>
  <c r="J29" i="20"/>
  <c r="J35" i="20"/>
  <c r="J40" i="20"/>
  <c r="J45" i="20"/>
  <c r="J51" i="20"/>
  <c r="J56" i="20"/>
  <c r="J61" i="20"/>
  <c r="J67" i="20"/>
  <c r="J72" i="20"/>
  <c r="J77" i="20"/>
  <c r="J83" i="20"/>
  <c r="K12" i="20"/>
  <c r="L12" i="20" s="1"/>
  <c r="J14" i="20"/>
  <c r="J18" i="20"/>
  <c r="J22" i="20"/>
  <c r="J26" i="20"/>
  <c r="J30" i="20"/>
  <c r="J34" i="20"/>
  <c r="J38" i="20"/>
  <c r="J42" i="20"/>
  <c r="J46" i="20"/>
  <c r="J50" i="20"/>
  <c r="J54" i="20"/>
  <c r="J58" i="20"/>
  <c r="J62" i="20"/>
  <c r="J66" i="20"/>
  <c r="J70" i="20"/>
  <c r="J74" i="20"/>
  <c r="J78" i="20"/>
  <c r="I86" i="5"/>
  <c r="I91" i="5" s="1"/>
  <c r="G16" i="10"/>
  <c r="G8" i="10"/>
  <c r="H83" i="7"/>
  <c r="M83" i="7"/>
  <c r="M82" i="7"/>
  <c r="P75" i="7"/>
  <c r="K13" i="20" l="1"/>
  <c r="K14" i="20" s="1"/>
  <c r="Q75" i="7"/>
  <c r="L13" i="20" l="1"/>
  <c r="K15" i="20"/>
  <c r="L14" i="20"/>
  <c r="M80" i="7"/>
  <c r="I326" i="8"/>
  <c r="K326" i="8" s="1"/>
  <c r="I325" i="8"/>
  <c r="I324" i="8"/>
  <c r="K324" i="8" s="1"/>
  <c r="I323" i="8"/>
  <c r="I322" i="8"/>
  <c r="I319" i="8"/>
  <c r="K319" i="8" s="1"/>
  <c r="I318" i="8"/>
  <c r="K318" i="8" s="1"/>
  <c r="I317" i="8"/>
  <c r="K317" i="8" s="1"/>
  <c r="I316" i="8"/>
  <c r="K316" i="8" s="1"/>
  <c r="I315" i="8"/>
  <c r="K315" i="8" s="1"/>
  <c r="Q54" i="7"/>
  <c r="G53" i="5" s="1"/>
  <c r="Q53" i="7"/>
  <c r="G52" i="5" s="1"/>
  <c r="I517" i="8"/>
  <c r="K517" i="8" s="1"/>
  <c r="L517" i="8" s="1"/>
  <c r="I516" i="8"/>
  <c r="I515" i="8"/>
  <c r="K515" i="8" s="1"/>
  <c r="I518" i="8"/>
  <c r="K518" i="8" s="1"/>
  <c r="I514" i="8"/>
  <c r="K514" i="8" s="1"/>
  <c r="I513" i="8"/>
  <c r="K513" i="8" s="1"/>
  <c r="Q83" i="7"/>
  <c r="G82" i="5" s="1"/>
  <c r="I510" i="8"/>
  <c r="I509" i="8"/>
  <c r="K508" i="8"/>
  <c r="I508" i="8"/>
  <c r="I507" i="8"/>
  <c r="G82" i="7"/>
  <c r="Q82" i="7" s="1"/>
  <c r="G81" i="5" s="1"/>
  <c r="P81" i="7"/>
  <c r="Q80" i="7"/>
  <c r="Q78" i="7"/>
  <c r="G74" i="7"/>
  <c r="K16" i="20" l="1"/>
  <c r="L15" i="20"/>
  <c r="L508" i="8"/>
  <c r="L324" i="8"/>
  <c r="K322" i="8"/>
  <c r="L322" i="8" s="1"/>
  <c r="K323" i="8"/>
  <c r="L323" i="8" s="1"/>
  <c r="K325" i="8"/>
  <c r="L325" i="8" s="1"/>
  <c r="L326" i="8"/>
  <c r="L318" i="8"/>
  <c r="L316" i="8"/>
  <c r="L315" i="8"/>
  <c r="L317" i="8"/>
  <c r="L319" i="8"/>
  <c r="K510" i="8"/>
  <c r="L510" i="8" s="1"/>
  <c r="K516" i="8"/>
  <c r="L516" i="8" s="1"/>
  <c r="L513" i="8"/>
  <c r="L515" i="8"/>
  <c r="L514" i="8"/>
  <c r="L518" i="8"/>
  <c r="K507" i="8"/>
  <c r="L507" i="8" s="1"/>
  <c r="K509" i="8"/>
  <c r="L509" i="8" s="1"/>
  <c r="K17" i="20" l="1"/>
  <c r="L16" i="20"/>
  <c r="H53" i="5"/>
  <c r="I53" i="5" s="1"/>
  <c r="H52" i="5"/>
  <c r="I52" i="5" s="1"/>
  <c r="H81" i="5"/>
  <c r="I81" i="5" s="1"/>
  <c r="H82" i="5"/>
  <c r="I82" i="5" s="1"/>
  <c r="K18" i="20" l="1"/>
  <c r="L17" i="20"/>
  <c r="Q74" i="7"/>
  <c r="K19" i="20" l="1"/>
  <c r="L18" i="20"/>
  <c r="Q52" i="7"/>
  <c r="Q51" i="7"/>
  <c r="K20" i="20" l="1"/>
  <c r="L19" i="20"/>
  <c r="I223" i="8"/>
  <c r="I222" i="8"/>
  <c r="G43" i="5"/>
  <c r="Q44" i="7"/>
  <c r="I219" i="8"/>
  <c r="I218" i="8"/>
  <c r="G42" i="5"/>
  <c r="Q43" i="7"/>
  <c r="I215" i="8"/>
  <c r="I214" i="8"/>
  <c r="I213" i="8"/>
  <c r="I212" i="8"/>
  <c r="I211" i="8"/>
  <c r="I210" i="8"/>
  <c r="G41" i="5"/>
  <c r="Q42" i="7"/>
  <c r="I207" i="8"/>
  <c r="I206" i="8"/>
  <c r="I205" i="8"/>
  <c r="I204" i="8"/>
  <c r="I203" i="8"/>
  <c r="I202" i="8"/>
  <c r="Q41" i="7"/>
  <c r="G40" i="5" s="1"/>
  <c r="I198" i="8"/>
  <c r="I199" i="8"/>
  <c r="I197" i="8"/>
  <c r="I196" i="8"/>
  <c r="I195" i="8"/>
  <c r="I194" i="8"/>
  <c r="G39" i="5"/>
  <c r="Q40" i="7"/>
  <c r="K21" i="20" l="1"/>
  <c r="L20" i="20"/>
  <c r="K198" i="8"/>
  <c r="L198" i="8" s="1"/>
  <c r="K203" i="8"/>
  <c r="L203" i="8" s="1"/>
  <c r="K207" i="8"/>
  <c r="L207" i="8" s="1"/>
  <c r="K211" i="8"/>
  <c r="L211" i="8" s="1"/>
  <c r="K213" i="8"/>
  <c r="L213" i="8" s="1"/>
  <c r="K215" i="8"/>
  <c r="L215" i="8" s="1"/>
  <c r="K219" i="8"/>
  <c r="L219" i="8" s="1"/>
  <c r="K223" i="8"/>
  <c r="L223" i="8" s="1"/>
  <c r="K196" i="8"/>
  <c r="L196" i="8" s="1"/>
  <c r="K199" i="8"/>
  <c r="L199" i="8" s="1"/>
  <c r="K204" i="8"/>
  <c r="L204" i="8" s="1"/>
  <c r="K206" i="8"/>
  <c r="L206" i="8" s="1"/>
  <c r="K210" i="8"/>
  <c r="L210" i="8" s="1"/>
  <c r="K214" i="8"/>
  <c r="L214" i="8" s="1"/>
  <c r="K218" i="8"/>
  <c r="L218" i="8" s="1"/>
  <c r="K222" i="8"/>
  <c r="L222" i="8" s="1"/>
  <c r="K212" i="8"/>
  <c r="L212" i="8" s="1"/>
  <c r="K205" i="8"/>
  <c r="L205" i="8" s="1"/>
  <c r="K202" i="8"/>
  <c r="L202" i="8" s="1"/>
  <c r="K197" i="8"/>
  <c r="L197" i="8" s="1"/>
  <c r="K194" i="8"/>
  <c r="L194" i="8" s="1"/>
  <c r="K195" i="8"/>
  <c r="L195" i="8" s="1"/>
  <c r="K22" i="20" l="1"/>
  <c r="L21" i="20"/>
  <c r="H43" i="5"/>
  <c r="I43" i="5" s="1"/>
  <c r="H42" i="5"/>
  <c r="I42" i="5" s="1"/>
  <c r="H41" i="5"/>
  <c r="I41" i="5" s="1"/>
  <c r="H40" i="5"/>
  <c r="I40" i="5" s="1"/>
  <c r="H39" i="5"/>
  <c r="I39" i="5" s="1"/>
  <c r="K23" i="20" l="1"/>
  <c r="L22" i="20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0" i="8"/>
  <c r="I339" i="8"/>
  <c r="I338" i="8"/>
  <c r="I337" i="8"/>
  <c r="I336" i="8"/>
  <c r="I333" i="8"/>
  <c r="I332" i="8"/>
  <c r="I331" i="8"/>
  <c r="I330" i="8"/>
  <c r="I329" i="8"/>
  <c r="I310" i="8"/>
  <c r="I309" i="8"/>
  <c r="I312" i="8"/>
  <c r="I311" i="8"/>
  <c r="I308" i="8"/>
  <c r="I307" i="8"/>
  <c r="I306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3" i="8"/>
  <c r="I282" i="8"/>
  <c r="I281" i="8"/>
  <c r="I280" i="8"/>
  <c r="I279" i="8"/>
  <c r="D13" i="6"/>
  <c r="Q20" i="7"/>
  <c r="G19" i="5" s="1"/>
  <c r="I80" i="8"/>
  <c r="I79" i="8"/>
  <c r="I78" i="8"/>
  <c r="I77" i="8"/>
  <c r="I76" i="8"/>
  <c r="I75" i="8"/>
  <c r="I74" i="8"/>
  <c r="I73" i="8"/>
  <c r="I72" i="8"/>
  <c r="I69" i="8"/>
  <c r="I66" i="8"/>
  <c r="I65" i="8"/>
  <c r="I64" i="8"/>
  <c r="I63" i="8"/>
  <c r="I62" i="8"/>
  <c r="I61" i="8"/>
  <c r="I60" i="8"/>
  <c r="I59" i="8"/>
  <c r="I56" i="8"/>
  <c r="I55" i="8"/>
  <c r="I54" i="8"/>
  <c r="I53" i="8"/>
  <c r="I52" i="8"/>
  <c r="I51" i="8"/>
  <c r="I50" i="8"/>
  <c r="I49" i="8"/>
  <c r="I48" i="8"/>
  <c r="I43" i="8"/>
  <c r="I42" i="8"/>
  <c r="I45" i="8"/>
  <c r="I44" i="8"/>
  <c r="I41" i="8"/>
  <c r="I40" i="8"/>
  <c r="I39" i="8"/>
  <c r="I38" i="8"/>
  <c r="I35" i="8"/>
  <c r="I34" i="8"/>
  <c r="I33" i="8"/>
  <c r="I32" i="8"/>
  <c r="I31" i="8"/>
  <c r="I30" i="8"/>
  <c r="I27" i="8"/>
  <c r="I26" i="8"/>
  <c r="I25" i="8"/>
  <c r="I24" i="8"/>
  <c r="I23" i="8"/>
  <c r="I22" i="8"/>
  <c r="I16" i="8"/>
  <c r="I18" i="8"/>
  <c r="I17" i="8"/>
  <c r="I15" i="8"/>
  <c r="I14" i="8"/>
  <c r="I13" i="8"/>
  <c r="Q19" i="7"/>
  <c r="G18" i="5" s="1"/>
  <c r="Q18" i="7"/>
  <c r="G17" i="5" s="1"/>
  <c r="Q17" i="7"/>
  <c r="G16" i="5" s="1"/>
  <c r="Q16" i="7"/>
  <c r="G15" i="5" s="1"/>
  <c r="Q15" i="7"/>
  <c r="G14" i="5" s="1"/>
  <c r="Q14" i="7"/>
  <c r="G13" i="5" s="1"/>
  <c r="Q13" i="7"/>
  <c r="G12" i="5" s="1"/>
  <c r="K24" i="20" l="1"/>
  <c r="L23" i="20"/>
  <c r="K13" i="8"/>
  <c r="L13" i="8" s="1"/>
  <c r="K15" i="8"/>
  <c r="L15" i="8" s="1"/>
  <c r="K18" i="8"/>
  <c r="L18" i="8" s="1"/>
  <c r="K26" i="8"/>
  <c r="L26" i="8" s="1"/>
  <c r="K34" i="8"/>
  <c r="L34" i="8" s="1"/>
  <c r="K40" i="8"/>
  <c r="L40" i="8" s="1"/>
  <c r="K44" i="8"/>
  <c r="L44" i="8" s="1"/>
  <c r="K42" i="8"/>
  <c r="L42" i="8" s="1"/>
  <c r="K50" i="8"/>
  <c r="L50" i="8" s="1"/>
  <c r="K54" i="8"/>
  <c r="L54" i="8" s="1"/>
  <c r="K60" i="8"/>
  <c r="L60" i="8" s="1"/>
  <c r="K62" i="8"/>
  <c r="L62" i="8" s="1"/>
  <c r="K64" i="8"/>
  <c r="L64" i="8" s="1"/>
  <c r="K66" i="8"/>
  <c r="L66" i="8" s="1"/>
  <c r="K72" i="8"/>
  <c r="L72" i="8" s="1"/>
  <c r="K74" i="8"/>
  <c r="L74" i="8" s="1"/>
  <c r="K76" i="8"/>
  <c r="L76" i="8" s="1"/>
  <c r="K78" i="8"/>
  <c r="L78" i="8" s="1"/>
  <c r="K80" i="8"/>
  <c r="L80" i="8" s="1"/>
  <c r="K293" i="8"/>
  <c r="L293" i="8" s="1"/>
  <c r="K297" i="8"/>
  <c r="L297" i="8" s="1"/>
  <c r="K299" i="8"/>
  <c r="L299" i="8" s="1"/>
  <c r="K301" i="8"/>
  <c r="L301" i="8" s="1"/>
  <c r="K309" i="8"/>
  <c r="L309" i="8" s="1"/>
  <c r="K333" i="8"/>
  <c r="L333" i="8" s="1"/>
  <c r="K343" i="8"/>
  <c r="L343" i="8" s="1"/>
  <c r="K345" i="8"/>
  <c r="L345" i="8" s="1"/>
  <c r="K347" i="8"/>
  <c r="L347" i="8" s="1"/>
  <c r="K349" i="8"/>
  <c r="L349" i="8" s="1"/>
  <c r="K351" i="8"/>
  <c r="L351" i="8" s="1"/>
  <c r="K353" i="8"/>
  <c r="L353" i="8" s="1"/>
  <c r="K355" i="8"/>
  <c r="L355" i="8" s="1"/>
  <c r="K14" i="8"/>
  <c r="L14" i="8" s="1"/>
  <c r="K23" i="8"/>
  <c r="L23" i="8" s="1"/>
  <c r="K25" i="8"/>
  <c r="L25" i="8" s="1"/>
  <c r="K27" i="8"/>
  <c r="L27" i="8"/>
  <c r="K31" i="8"/>
  <c r="L31" i="8" s="1"/>
  <c r="K33" i="8"/>
  <c r="L33" i="8" s="1"/>
  <c r="K35" i="8"/>
  <c r="L35" i="8" s="1"/>
  <c r="K39" i="8"/>
  <c r="L39" i="8" s="1"/>
  <c r="K41" i="8"/>
  <c r="L41" i="8" s="1"/>
  <c r="K45" i="8"/>
  <c r="L45" i="8" s="1"/>
  <c r="K51" i="8"/>
  <c r="L51" i="8" s="1"/>
  <c r="K53" i="8"/>
  <c r="L53" i="8" s="1"/>
  <c r="K61" i="8"/>
  <c r="L61" i="8" s="1"/>
  <c r="K65" i="8"/>
  <c r="L65" i="8" s="1"/>
  <c r="K69" i="8"/>
  <c r="L69" i="8" s="1"/>
  <c r="H18" i="5" s="1"/>
  <c r="I18" i="5" s="1"/>
  <c r="K75" i="8"/>
  <c r="L75" i="8"/>
  <c r="K77" i="8"/>
  <c r="L77" i="8" s="1"/>
  <c r="K79" i="8"/>
  <c r="L79" i="8" s="1"/>
  <c r="K282" i="8"/>
  <c r="L282" i="8" s="1"/>
  <c r="K286" i="8"/>
  <c r="L286" i="8" s="1"/>
  <c r="K290" i="8"/>
  <c r="L290" i="8" s="1"/>
  <c r="K292" i="8"/>
  <c r="L292" i="8" s="1"/>
  <c r="K294" i="8"/>
  <c r="L294" i="8" s="1"/>
  <c r="K296" i="8"/>
  <c r="L296" i="8" s="1"/>
  <c r="K298" i="8"/>
  <c r="L298" i="8" s="1"/>
  <c r="K300" i="8"/>
  <c r="L300" i="8" s="1"/>
  <c r="K302" i="8"/>
  <c r="L302" i="8" s="1"/>
  <c r="K308" i="8"/>
  <c r="L308" i="8" s="1"/>
  <c r="K336" i="8"/>
  <c r="L336" i="8" s="1"/>
  <c r="K338" i="8"/>
  <c r="L338" i="8" s="1"/>
  <c r="K340" i="8"/>
  <c r="L340" i="8" s="1"/>
  <c r="K357" i="8"/>
  <c r="L357" i="8" s="1"/>
  <c r="K346" i="8"/>
  <c r="L346" i="8" s="1"/>
  <c r="K348" i="8"/>
  <c r="L348" i="8" s="1"/>
  <c r="K350" i="8"/>
  <c r="L350" i="8" s="1"/>
  <c r="K352" i="8"/>
  <c r="L352" i="8" s="1"/>
  <c r="K354" i="8"/>
  <c r="L354" i="8" s="1"/>
  <c r="K356" i="8"/>
  <c r="L356" i="8" s="1"/>
  <c r="K358" i="8"/>
  <c r="L358" i="8" s="1"/>
  <c r="K344" i="8"/>
  <c r="L344" i="8" s="1"/>
  <c r="K337" i="8"/>
  <c r="L337" i="8" s="1"/>
  <c r="K339" i="8"/>
  <c r="L339" i="8" s="1"/>
  <c r="K331" i="8"/>
  <c r="L331" i="8" s="1"/>
  <c r="K329" i="8"/>
  <c r="L329" i="8" s="1"/>
  <c r="K330" i="8"/>
  <c r="L330" i="8" s="1"/>
  <c r="K332" i="8"/>
  <c r="L332" i="8" s="1"/>
  <c r="K310" i="8"/>
  <c r="L310" i="8" s="1"/>
  <c r="K312" i="8"/>
  <c r="L312" i="8" s="1"/>
  <c r="K306" i="8"/>
  <c r="L306" i="8" s="1"/>
  <c r="K307" i="8"/>
  <c r="L307" i="8" s="1"/>
  <c r="K311" i="8"/>
  <c r="L311" i="8" s="1"/>
  <c r="K291" i="8"/>
  <c r="L291" i="8" s="1"/>
  <c r="K295" i="8"/>
  <c r="L295" i="8" s="1"/>
  <c r="K303" i="8"/>
  <c r="L303" i="8" s="1"/>
  <c r="K288" i="8"/>
  <c r="L288" i="8" s="1"/>
  <c r="K287" i="8"/>
  <c r="L287" i="8" s="1"/>
  <c r="K289" i="8"/>
  <c r="L289" i="8" s="1"/>
  <c r="K63" i="8"/>
  <c r="L63" i="8" s="1"/>
  <c r="K73" i="8"/>
  <c r="L73" i="8" s="1"/>
  <c r="K280" i="8"/>
  <c r="L280" i="8" s="1"/>
  <c r="K279" i="8"/>
  <c r="L279" i="8" s="1"/>
  <c r="K281" i="8"/>
  <c r="L281" i="8" s="1"/>
  <c r="K283" i="8"/>
  <c r="L283" i="8" s="1"/>
  <c r="K59" i="8"/>
  <c r="L59" i="8" s="1"/>
  <c r="K48" i="8"/>
  <c r="L48" i="8" s="1"/>
  <c r="K52" i="8"/>
  <c r="L52" i="8" s="1"/>
  <c r="K56" i="8"/>
  <c r="L56" i="8" s="1"/>
  <c r="K49" i="8"/>
  <c r="L49" i="8" s="1"/>
  <c r="K55" i="8"/>
  <c r="L55" i="8" s="1"/>
  <c r="K43" i="8"/>
  <c r="L43" i="8" s="1"/>
  <c r="K38" i="8"/>
  <c r="L38" i="8" s="1"/>
  <c r="K32" i="8"/>
  <c r="L32" i="8" s="1"/>
  <c r="K30" i="8"/>
  <c r="L30" i="8" s="1"/>
  <c r="K24" i="8"/>
  <c r="L24" i="8" s="1"/>
  <c r="K22" i="8"/>
  <c r="L22" i="8" s="1"/>
  <c r="K16" i="8"/>
  <c r="L16" i="8" s="1"/>
  <c r="K17" i="8"/>
  <c r="L17" i="8" s="1"/>
  <c r="K25" i="20" l="1"/>
  <c r="L24" i="20"/>
  <c r="H56" i="5"/>
  <c r="H55" i="5"/>
  <c r="H54" i="5"/>
  <c r="H51" i="5"/>
  <c r="H50" i="5"/>
  <c r="H12" i="5"/>
  <c r="I12" i="5" s="1"/>
  <c r="H49" i="5"/>
  <c r="H19" i="5"/>
  <c r="I19" i="5" s="1"/>
  <c r="H17" i="5"/>
  <c r="I17" i="5" s="1"/>
  <c r="H16" i="5"/>
  <c r="I16" i="5" s="1"/>
  <c r="H15" i="5"/>
  <c r="I15" i="5" s="1"/>
  <c r="H14" i="5"/>
  <c r="I14" i="5" s="1"/>
  <c r="H13" i="5"/>
  <c r="I13" i="5" s="1"/>
  <c r="K26" i="20" l="1"/>
  <c r="L25" i="20"/>
  <c r="I13" i="6"/>
  <c r="R12" i="9" s="1"/>
  <c r="N13" i="9" s="1"/>
  <c r="K27" i="20" l="1"/>
  <c r="L26" i="20"/>
  <c r="G13" i="9"/>
  <c r="K13" i="9"/>
  <c r="I13" i="9"/>
  <c r="M13" i="9"/>
  <c r="Q13" i="9"/>
  <c r="H13" i="9"/>
  <c r="L13" i="9"/>
  <c r="P13" i="9"/>
  <c r="O13" i="9"/>
  <c r="F13" i="9"/>
  <c r="J13" i="9"/>
  <c r="K28" i="20" l="1"/>
  <c r="L27" i="20"/>
  <c r="K104" i="7"/>
  <c r="K98" i="7"/>
  <c r="K101" i="7"/>
  <c r="Q72" i="7"/>
  <c r="Q71" i="7"/>
  <c r="Q70" i="7"/>
  <c r="K95" i="7"/>
  <c r="K29" i="20" l="1"/>
  <c r="L28" i="20"/>
  <c r="G70" i="5"/>
  <c r="K30" i="20" l="1"/>
  <c r="L29" i="20"/>
  <c r="B5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K31" i="20" l="1"/>
  <c r="L30" i="20"/>
  <c r="I555" i="8"/>
  <c r="I554" i="8"/>
  <c r="I553" i="8"/>
  <c r="I552" i="8"/>
  <c r="I551" i="8"/>
  <c r="I550" i="8"/>
  <c r="I549" i="8"/>
  <c r="Q90" i="7"/>
  <c r="G89" i="5" s="1"/>
  <c r="K32" i="20" l="1"/>
  <c r="L31" i="20"/>
  <c r="K551" i="8"/>
  <c r="L551" i="8" s="1"/>
  <c r="K555" i="8"/>
  <c r="L555" i="8"/>
  <c r="K549" i="8"/>
  <c r="L549" i="8" s="1"/>
  <c r="K553" i="8"/>
  <c r="L553" i="8" s="1"/>
  <c r="K550" i="8"/>
  <c r="L550" i="8" s="1"/>
  <c r="K552" i="8"/>
  <c r="L552" i="8" s="1"/>
  <c r="K554" i="8"/>
  <c r="L554" i="8" s="1"/>
  <c r="K33" i="20" l="1"/>
  <c r="L32" i="20"/>
  <c r="H89" i="5"/>
  <c r="K34" i="20" l="1"/>
  <c r="L33" i="20"/>
  <c r="Q88" i="7"/>
  <c r="D23" i="6"/>
  <c r="D22" i="9" s="1"/>
  <c r="D21" i="6"/>
  <c r="I546" i="8"/>
  <c r="I545" i="8"/>
  <c r="I544" i="8"/>
  <c r="I543" i="8"/>
  <c r="I542" i="8"/>
  <c r="I541" i="8"/>
  <c r="I540" i="8"/>
  <c r="I537" i="8"/>
  <c r="I536" i="8"/>
  <c r="I535" i="8"/>
  <c r="I534" i="8"/>
  <c r="I533" i="8"/>
  <c r="I532" i="8"/>
  <c r="I531" i="8"/>
  <c r="I530" i="8"/>
  <c r="I529" i="8"/>
  <c r="I528" i="8"/>
  <c r="I527" i="8"/>
  <c r="K35" i="20" l="1"/>
  <c r="L34" i="20"/>
  <c r="K540" i="8"/>
  <c r="L540" i="8" s="1"/>
  <c r="K542" i="8"/>
  <c r="L542" i="8" s="1"/>
  <c r="K544" i="8"/>
  <c r="L544" i="8" s="1"/>
  <c r="K546" i="8"/>
  <c r="L546" i="8" s="1"/>
  <c r="K527" i="8"/>
  <c r="L527" i="8" s="1"/>
  <c r="K529" i="8"/>
  <c r="L529" i="8" s="1"/>
  <c r="K531" i="8"/>
  <c r="L531" i="8" s="1"/>
  <c r="L533" i="8"/>
  <c r="K535" i="8"/>
  <c r="L535" i="8" s="1"/>
  <c r="K537" i="8"/>
  <c r="L537" i="8" s="1"/>
  <c r="K541" i="8"/>
  <c r="L541" i="8" s="1"/>
  <c r="K543" i="8"/>
  <c r="L543" i="8" s="1"/>
  <c r="K545" i="8"/>
  <c r="L545" i="8" s="1"/>
  <c r="K528" i="8"/>
  <c r="L528" i="8" s="1"/>
  <c r="K530" i="8"/>
  <c r="L530" i="8" s="1"/>
  <c r="K532" i="8"/>
  <c r="L532" i="8" s="1"/>
  <c r="K534" i="8"/>
  <c r="L534" i="8" s="1"/>
  <c r="K536" i="8"/>
  <c r="L536" i="8" s="1"/>
  <c r="K36" i="20" l="1"/>
  <c r="L35" i="20"/>
  <c r="H88" i="5"/>
  <c r="H87" i="5"/>
  <c r="K37" i="20" l="1"/>
  <c r="L36" i="20"/>
  <c r="Q89" i="7"/>
  <c r="G88" i="5" s="1"/>
  <c r="G87" i="5"/>
  <c r="K38" i="20" l="1"/>
  <c r="L37" i="20"/>
  <c r="Q64" i="7"/>
  <c r="G386" i="8"/>
  <c r="G387" i="8"/>
  <c r="G388" i="8"/>
  <c r="K39" i="20" l="1"/>
  <c r="L38" i="20"/>
  <c r="I23" i="6"/>
  <c r="R22" i="9" s="1"/>
  <c r="I388" i="8"/>
  <c r="I387" i="8"/>
  <c r="I386" i="8"/>
  <c r="G63" i="5"/>
  <c r="K40" i="20" l="1"/>
  <c r="L39" i="20"/>
  <c r="K387" i="8"/>
  <c r="L387" i="8" s="1"/>
  <c r="K388" i="8"/>
  <c r="L388" i="8"/>
  <c r="M23" i="9"/>
  <c r="L23" i="9"/>
  <c r="G23" i="9"/>
  <c r="J23" i="9"/>
  <c r="O23" i="9"/>
  <c r="I23" i="9"/>
  <c r="Q23" i="9"/>
  <c r="F23" i="9"/>
  <c r="N23" i="9"/>
  <c r="K23" i="9"/>
  <c r="H23" i="9"/>
  <c r="P23" i="9"/>
  <c r="K386" i="8"/>
  <c r="L386" i="8" s="1"/>
  <c r="K41" i="20" l="1"/>
  <c r="L40" i="20"/>
  <c r="H63" i="5"/>
  <c r="I63" i="5" s="1"/>
  <c r="K42" i="20" l="1"/>
  <c r="L41" i="20"/>
  <c r="I401" i="8"/>
  <c r="I400" i="8"/>
  <c r="H67" i="7"/>
  <c r="Q67" i="7" s="1"/>
  <c r="G66" i="5" s="1"/>
  <c r="K43" i="20" l="1"/>
  <c r="L42" i="20"/>
  <c r="K401" i="8"/>
  <c r="L401" i="8" s="1"/>
  <c r="H66" i="7"/>
  <c r="Q66" i="7" s="1"/>
  <c r="K400" i="8"/>
  <c r="L400" i="8" s="1"/>
  <c r="K44" i="20" l="1"/>
  <c r="L43" i="20"/>
  <c r="H66" i="5"/>
  <c r="I66" i="5" s="1"/>
  <c r="Q57" i="7"/>
  <c r="G56" i="5" s="1"/>
  <c r="Q56" i="7"/>
  <c r="G55" i="5" s="1"/>
  <c r="Q55" i="7"/>
  <c r="G54" i="5" s="1"/>
  <c r="G51" i="5"/>
  <c r="G50" i="5"/>
  <c r="Q50" i="7"/>
  <c r="G49" i="5" s="1"/>
  <c r="G274" i="8"/>
  <c r="I274" i="8" s="1"/>
  <c r="G276" i="8"/>
  <c r="I276" i="8" s="1"/>
  <c r="G275" i="8"/>
  <c r="I275" i="8" s="1"/>
  <c r="I273" i="8"/>
  <c r="G270" i="8"/>
  <c r="I270" i="8" s="1"/>
  <c r="G272" i="8"/>
  <c r="I272" i="8" s="1"/>
  <c r="G271" i="8"/>
  <c r="I271" i="8" s="1"/>
  <c r="Q49" i="7"/>
  <c r="G48" i="5" s="1"/>
  <c r="I504" i="8"/>
  <c r="Q81" i="7"/>
  <c r="G80" i="5" s="1"/>
  <c r="I501" i="8"/>
  <c r="G79" i="5"/>
  <c r="I498" i="8"/>
  <c r="Q79" i="7"/>
  <c r="G78" i="5" s="1"/>
  <c r="K45" i="20" l="1"/>
  <c r="L44" i="20"/>
  <c r="K498" i="8"/>
  <c r="L498" i="8" s="1"/>
  <c r="K270" i="8"/>
  <c r="L270" i="8" s="1"/>
  <c r="K275" i="8"/>
  <c r="L275" i="8" s="1"/>
  <c r="K274" i="8"/>
  <c r="L274" i="8"/>
  <c r="K272" i="8"/>
  <c r="L272" i="8"/>
  <c r="K273" i="8"/>
  <c r="L273" i="8"/>
  <c r="K276" i="8"/>
  <c r="L276" i="8"/>
  <c r="I49" i="5"/>
  <c r="I51" i="5"/>
  <c r="I50" i="5"/>
  <c r="I54" i="5"/>
  <c r="I56" i="5"/>
  <c r="I55" i="5"/>
  <c r="K271" i="8"/>
  <c r="L271" i="8" s="1"/>
  <c r="K504" i="8"/>
  <c r="L504" i="8" s="1"/>
  <c r="K501" i="8"/>
  <c r="K46" i="20" l="1"/>
  <c r="L45" i="20"/>
  <c r="H80" i="5"/>
  <c r="I80" i="5" s="1"/>
  <c r="L501" i="8"/>
  <c r="H79" i="5" s="1"/>
  <c r="I79" i="5" s="1"/>
  <c r="H48" i="5"/>
  <c r="I48" i="5" s="1"/>
  <c r="H78" i="5"/>
  <c r="I78" i="5" s="1"/>
  <c r="K47" i="20" l="1"/>
  <c r="L46" i="20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Q48" i="7"/>
  <c r="G47" i="5" s="1"/>
  <c r="I252" i="8"/>
  <c r="I251" i="8"/>
  <c r="I250" i="8"/>
  <c r="I249" i="8"/>
  <c r="I248" i="8"/>
  <c r="I247" i="8"/>
  <c r="Q47" i="7"/>
  <c r="G46" i="5" s="1"/>
  <c r="K48" i="20" l="1"/>
  <c r="L47" i="20"/>
  <c r="K247" i="8"/>
  <c r="L247" i="8" s="1"/>
  <c r="K251" i="8"/>
  <c r="L251" i="8" s="1"/>
  <c r="K256" i="8"/>
  <c r="L256" i="8"/>
  <c r="K258" i="8"/>
  <c r="L258" i="8" s="1"/>
  <c r="K262" i="8"/>
  <c r="L262" i="8" s="1"/>
  <c r="K264" i="8"/>
  <c r="L264" i="8" s="1"/>
  <c r="K266" i="8"/>
  <c r="L266" i="8" s="1"/>
  <c r="K248" i="8"/>
  <c r="L248" i="8" s="1"/>
  <c r="K250" i="8"/>
  <c r="L250" i="8" s="1"/>
  <c r="K252" i="8"/>
  <c r="L252" i="8" s="1"/>
  <c r="K255" i="8"/>
  <c r="L255" i="8" s="1"/>
  <c r="K257" i="8"/>
  <c r="L257" i="8" s="1"/>
  <c r="K259" i="8"/>
  <c r="L259" i="8" s="1"/>
  <c r="K261" i="8"/>
  <c r="L261" i="8" s="1"/>
  <c r="K263" i="8"/>
  <c r="L263" i="8" s="1"/>
  <c r="K265" i="8"/>
  <c r="L265" i="8" s="1"/>
  <c r="K267" i="8"/>
  <c r="L267" i="8" s="1"/>
  <c r="K260" i="8"/>
  <c r="L260" i="8" s="1"/>
  <c r="K249" i="8"/>
  <c r="L249" i="8" s="1"/>
  <c r="K49" i="20" l="1"/>
  <c r="L48" i="20"/>
  <c r="H47" i="5"/>
  <c r="H46" i="5"/>
  <c r="K50" i="20" l="1"/>
  <c r="L49" i="20"/>
  <c r="I244" i="8"/>
  <c r="I243" i="8"/>
  <c r="I242" i="8"/>
  <c r="I241" i="8"/>
  <c r="I240" i="8"/>
  <c r="I239" i="8"/>
  <c r="Q46" i="7"/>
  <c r="G45" i="5" s="1"/>
  <c r="I47" i="5"/>
  <c r="I46" i="5"/>
  <c r="I236" i="8"/>
  <c r="I235" i="8"/>
  <c r="I234" i="8"/>
  <c r="I233" i="8"/>
  <c r="I232" i="8"/>
  <c r="I231" i="8"/>
  <c r="I230" i="8"/>
  <c r="I229" i="8"/>
  <c r="I228" i="8"/>
  <c r="I227" i="8"/>
  <c r="I226" i="8"/>
  <c r="Q45" i="7"/>
  <c r="G44" i="5" s="1"/>
  <c r="G188" i="8"/>
  <c r="I188" i="8" s="1"/>
  <c r="G187" i="8"/>
  <c r="I187" i="8" s="1"/>
  <c r="I191" i="8"/>
  <c r="I190" i="8"/>
  <c r="I189" i="8"/>
  <c r="Q39" i="7"/>
  <c r="G38" i="5" s="1"/>
  <c r="G181" i="8"/>
  <c r="I181" i="8" s="1"/>
  <c r="G180" i="8"/>
  <c r="I180" i="8" s="1"/>
  <c r="I184" i="8"/>
  <c r="I183" i="8"/>
  <c r="I182" i="8"/>
  <c r="Q38" i="7"/>
  <c r="G37" i="5" s="1"/>
  <c r="G174" i="8"/>
  <c r="I174" i="8" s="1"/>
  <c r="G173" i="8"/>
  <c r="I173" i="8" s="1"/>
  <c r="I177" i="8"/>
  <c r="I176" i="8"/>
  <c r="I175" i="8"/>
  <c r="Q37" i="7"/>
  <c r="G36" i="5" s="1"/>
  <c r="G169" i="8"/>
  <c r="G170" i="8"/>
  <c r="I170" i="8" s="1"/>
  <c r="G167" i="8"/>
  <c r="G166" i="8"/>
  <c r="I169" i="8"/>
  <c r="I168" i="8"/>
  <c r="I167" i="8"/>
  <c r="I166" i="8"/>
  <c r="Q36" i="7"/>
  <c r="G35" i="5" s="1"/>
  <c r="I163" i="8"/>
  <c r="I162" i="8"/>
  <c r="I161" i="8"/>
  <c r="I160" i="8"/>
  <c r="I159" i="8"/>
  <c r="I158" i="8"/>
  <c r="I157" i="8"/>
  <c r="Q35" i="7"/>
  <c r="G34" i="5" s="1"/>
  <c r="K51" i="20" l="1"/>
  <c r="L50" i="20"/>
  <c r="K158" i="8"/>
  <c r="L158" i="8" s="1"/>
  <c r="K160" i="8"/>
  <c r="L160" i="8" s="1"/>
  <c r="K162" i="8"/>
  <c r="L162" i="8" s="1"/>
  <c r="K167" i="8"/>
  <c r="L167" i="8" s="1"/>
  <c r="K169" i="8"/>
  <c r="L169" i="8" s="1"/>
  <c r="K175" i="8"/>
  <c r="L175" i="8" s="1"/>
  <c r="K177" i="8"/>
  <c r="L177" i="8" s="1"/>
  <c r="K182" i="8"/>
  <c r="L182" i="8" s="1"/>
  <c r="K189" i="8"/>
  <c r="L189" i="8" s="1"/>
  <c r="K191" i="8"/>
  <c r="L191" i="8"/>
  <c r="K228" i="8"/>
  <c r="L228" i="8" s="1"/>
  <c r="K239" i="8"/>
  <c r="L239" i="8" s="1"/>
  <c r="K241" i="8"/>
  <c r="L241" i="8" s="1"/>
  <c r="K243" i="8"/>
  <c r="L243" i="8"/>
  <c r="K161" i="8"/>
  <c r="L161" i="8" s="1"/>
  <c r="K163" i="8"/>
  <c r="L163" i="8"/>
  <c r="K166" i="8"/>
  <c r="L166" i="8" s="1"/>
  <c r="K170" i="8"/>
  <c r="L170" i="8" s="1"/>
  <c r="K176" i="8"/>
  <c r="L176" i="8" s="1"/>
  <c r="K190" i="8"/>
  <c r="L190" i="8"/>
  <c r="K231" i="8"/>
  <c r="L231" i="8" s="1"/>
  <c r="K235" i="8"/>
  <c r="L235" i="8" s="1"/>
  <c r="K240" i="8"/>
  <c r="L240" i="8"/>
  <c r="K244" i="8"/>
  <c r="L244" i="8" s="1"/>
  <c r="K242" i="8"/>
  <c r="L242" i="8" s="1"/>
  <c r="K229" i="8"/>
  <c r="L229" i="8" s="1"/>
  <c r="K233" i="8"/>
  <c r="L233" i="8" s="1"/>
  <c r="K230" i="8"/>
  <c r="L230" i="8" s="1"/>
  <c r="K232" i="8"/>
  <c r="L232" i="8" s="1"/>
  <c r="K234" i="8"/>
  <c r="L234" i="8" s="1"/>
  <c r="K236" i="8"/>
  <c r="L236" i="8" s="1"/>
  <c r="K227" i="8"/>
  <c r="L227" i="8" s="1"/>
  <c r="K226" i="8"/>
  <c r="L226" i="8" s="1"/>
  <c r="K187" i="8"/>
  <c r="L187" i="8" s="1"/>
  <c r="K188" i="8"/>
  <c r="L188" i="8" s="1"/>
  <c r="K184" i="8"/>
  <c r="L184" i="8" s="1"/>
  <c r="K180" i="8"/>
  <c r="L180" i="8" s="1"/>
  <c r="K181" i="8"/>
  <c r="L181" i="8" s="1"/>
  <c r="K183" i="8"/>
  <c r="L183" i="8" s="1"/>
  <c r="K174" i="8"/>
  <c r="L174" i="8" s="1"/>
  <c r="K173" i="8"/>
  <c r="L173" i="8" s="1"/>
  <c r="K168" i="8"/>
  <c r="L168" i="8" s="1"/>
  <c r="K159" i="8"/>
  <c r="L159" i="8" s="1"/>
  <c r="K157" i="8"/>
  <c r="L157" i="8" s="1"/>
  <c r="M34" i="7"/>
  <c r="Q34" i="7" s="1"/>
  <c r="G33" i="5" s="1"/>
  <c r="I154" i="8"/>
  <c r="I153" i="8"/>
  <c r="I152" i="8"/>
  <c r="K52" i="20" l="1"/>
  <c r="L51" i="20"/>
  <c r="K154" i="8"/>
  <c r="L154" i="8" s="1"/>
  <c r="H45" i="5"/>
  <c r="I45" i="5" s="1"/>
  <c r="H44" i="5"/>
  <c r="I44" i="5" s="1"/>
  <c r="H38" i="5"/>
  <c r="I38" i="5" s="1"/>
  <c r="H37" i="5"/>
  <c r="I37" i="5" s="1"/>
  <c r="H36" i="5"/>
  <c r="I36" i="5" s="1"/>
  <c r="H35" i="5"/>
  <c r="I35" i="5" s="1"/>
  <c r="H34" i="5"/>
  <c r="I34" i="5" s="1"/>
  <c r="K152" i="8"/>
  <c r="L152" i="8" s="1"/>
  <c r="K153" i="8"/>
  <c r="L153" i="8" s="1"/>
  <c r="K53" i="20" l="1"/>
  <c r="L52" i="20"/>
  <c r="H33" i="5"/>
  <c r="K54" i="20" l="1"/>
  <c r="L53" i="20"/>
  <c r="I33" i="5"/>
  <c r="K55" i="20" l="1"/>
  <c r="L54" i="20"/>
  <c r="I364" i="8"/>
  <c r="I363" i="8"/>
  <c r="I362" i="8"/>
  <c r="I361" i="8"/>
  <c r="Q59" i="7"/>
  <c r="G58" i="5" s="1"/>
  <c r="I397" i="8"/>
  <c r="I396" i="8"/>
  <c r="G65" i="5"/>
  <c r="K56" i="20" l="1"/>
  <c r="L55" i="20"/>
  <c r="K363" i="8"/>
  <c r="L363" i="8" s="1"/>
  <c r="K396" i="8"/>
  <c r="L396" i="8" s="1"/>
  <c r="K362" i="8"/>
  <c r="L362" i="8" s="1"/>
  <c r="K364" i="8"/>
  <c r="L364" i="8" s="1"/>
  <c r="K361" i="8"/>
  <c r="L361" i="8" s="1"/>
  <c r="K397" i="8"/>
  <c r="L397" i="8" s="1"/>
  <c r="K57" i="20" l="1"/>
  <c r="L56" i="20"/>
  <c r="H58" i="5"/>
  <c r="I58" i="5" s="1"/>
  <c r="H65" i="5"/>
  <c r="I65" i="5" s="1"/>
  <c r="K58" i="20" l="1"/>
  <c r="L57" i="20"/>
  <c r="I393" i="8"/>
  <c r="I392" i="8"/>
  <c r="I391" i="8"/>
  <c r="Q65" i="7"/>
  <c r="G64" i="5" s="1"/>
  <c r="I133" i="8"/>
  <c r="I132" i="8"/>
  <c r="I131" i="8"/>
  <c r="I130" i="8"/>
  <c r="I129" i="8"/>
  <c r="K59" i="20" l="1"/>
  <c r="L58" i="20"/>
  <c r="K130" i="8"/>
  <c r="L130" i="8" s="1"/>
  <c r="K132" i="8"/>
  <c r="L132" i="8" s="1"/>
  <c r="K392" i="8"/>
  <c r="L392" i="8" s="1"/>
  <c r="K393" i="8"/>
  <c r="L393" i="8" s="1"/>
  <c r="K391" i="8"/>
  <c r="L391" i="8" s="1"/>
  <c r="K129" i="8"/>
  <c r="L129" i="8" s="1"/>
  <c r="K131" i="8"/>
  <c r="L131" i="8" s="1"/>
  <c r="K133" i="8"/>
  <c r="L133" i="8" s="1"/>
  <c r="K60" i="20" l="1"/>
  <c r="L59" i="20"/>
  <c r="H64" i="5"/>
  <c r="I64" i="5" s="1"/>
  <c r="H28" i="5"/>
  <c r="K61" i="20" l="1"/>
  <c r="L60" i="20"/>
  <c r="I126" i="8"/>
  <c r="I125" i="8"/>
  <c r="I124" i="8"/>
  <c r="I123" i="8"/>
  <c r="I119" i="8"/>
  <c r="I118" i="8"/>
  <c r="I117" i="8"/>
  <c r="I116" i="8"/>
  <c r="I115" i="8"/>
  <c r="I112" i="8"/>
  <c r="I109" i="8"/>
  <c r="I108" i="8"/>
  <c r="I107" i="8"/>
  <c r="I106" i="8"/>
  <c r="I105" i="8"/>
  <c r="Q86" i="7"/>
  <c r="G85" i="5" s="1"/>
  <c r="Q85" i="7"/>
  <c r="G84" i="5" s="1"/>
  <c r="I492" i="8"/>
  <c r="I483" i="8"/>
  <c r="I482" i="8"/>
  <c r="Q77" i="7"/>
  <c r="I472" i="8"/>
  <c r="I471" i="8"/>
  <c r="Q76" i="7"/>
  <c r="I464" i="8"/>
  <c r="I463" i="8"/>
  <c r="I462" i="8"/>
  <c r="G74" i="5"/>
  <c r="I457" i="8"/>
  <c r="I456" i="8"/>
  <c r="I455" i="8"/>
  <c r="I454" i="8"/>
  <c r="I453" i="8"/>
  <c r="G73" i="5"/>
  <c r="K62" i="20" l="1"/>
  <c r="L61" i="20"/>
  <c r="K453" i="8"/>
  <c r="L453" i="8" s="1"/>
  <c r="K456" i="8"/>
  <c r="L456" i="8" s="1"/>
  <c r="K463" i="8"/>
  <c r="L463" i="8" s="1"/>
  <c r="K482" i="8"/>
  <c r="L482" i="8" s="1"/>
  <c r="K492" i="8"/>
  <c r="L492" i="8" s="1"/>
  <c r="K106" i="8"/>
  <c r="L106" i="8" s="1"/>
  <c r="K108" i="8"/>
  <c r="L108" i="8" s="1"/>
  <c r="K116" i="8"/>
  <c r="L116" i="8" s="1"/>
  <c r="K118" i="8"/>
  <c r="L118" i="8" s="1"/>
  <c r="K123" i="8"/>
  <c r="L123" i="8" s="1"/>
  <c r="K125" i="8"/>
  <c r="L125" i="8" s="1"/>
  <c r="K455" i="8"/>
  <c r="L455" i="8"/>
  <c r="K117" i="8"/>
  <c r="L117" i="8" s="1"/>
  <c r="K124" i="8"/>
  <c r="L124" i="8" s="1"/>
  <c r="K126" i="8"/>
  <c r="L126" i="8" s="1"/>
  <c r="K115" i="8"/>
  <c r="L115" i="8" s="1"/>
  <c r="K119" i="8"/>
  <c r="L119" i="8" s="1"/>
  <c r="K112" i="8"/>
  <c r="K105" i="8"/>
  <c r="L105" i="8" s="1"/>
  <c r="K107" i="8"/>
  <c r="L107" i="8" s="1"/>
  <c r="K109" i="8"/>
  <c r="L109" i="8" s="1"/>
  <c r="K483" i="8"/>
  <c r="L483" i="8" s="1"/>
  <c r="K471" i="8"/>
  <c r="L471" i="8" s="1"/>
  <c r="K472" i="8"/>
  <c r="L472" i="8" s="1"/>
  <c r="K454" i="8"/>
  <c r="L454" i="8" s="1"/>
  <c r="K462" i="8"/>
  <c r="L462" i="8" s="1"/>
  <c r="K464" i="8"/>
  <c r="L464" i="8" s="1"/>
  <c r="K457" i="8"/>
  <c r="L457" i="8" s="1"/>
  <c r="K63" i="20" l="1"/>
  <c r="L62" i="20"/>
  <c r="L112" i="8"/>
  <c r="L113" i="8" s="1"/>
  <c r="H25" i="5" s="1"/>
  <c r="H27" i="5"/>
  <c r="H26" i="5"/>
  <c r="H24" i="5"/>
  <c r="K64" i="20" l="1"/>
  <c r="L63" i="20"/>
  <c r="I450" i="8"/>
  <c r="I449" i="8"/>
  <c r="I448" i="8"/>
  <c r="I447" i="8"/>
  <c r="I446" i="8"/>
  <c r="I445" i="8"/>
  <c r="I444" i="8"/>
  <c r="I443" i="8"/>
  <c r="I442" i="8"/>
  <c r="I441" i="8"/>
  <c r="I440" i="8"/>
  <c r="I439" i="8"/>
  <c r="K65" i="20" l="1"/>
  <c r="L64" i="20"/>
  <c r="K439" i="8"/>
  <c r="L439" i="8" s="1"/>
  <c r="K443" i="8"/>
  <c r="L443" i="8" s="1"/>
  <c r="K445" i="8"/>
  <c r="L445" i="8" s="1"/>
  <c r="K447" i="8"/>
  <c r="L447" i="8" s="1"/>
  <c r="K449" i="8"/>
  <c r="L449" i="8" s="1"/>
  <c r="K441" i="8"/>
  <c r="L441" i="8" s="1"/>
  <c r="K440" i="8"/>
  <c r="L440" i="8" s="1"/>
  <c r="K442" i="8"/>
  <c r="L442" i="8" s="1"/>
  <c r="K444" i="8"/>
  <c r="L444" i="8" s="1"/>
  <c r="K446" i="8"/>
  <c r="L446" i="8" s="1"/>
  <c r="K448" i="8"/>
  <c r="L448" i="8" s="1"/>
  <c r="K450" i="8"/>
  <c r="L450" i="8" s="1"/>
  <c r="K66" i="20" l="1"/>
  <c r="L65" i="20"/>
  <c r="I435" i="8"/>
  <c r="I434" i="8"/>
  <c r="I433" i="8"/>
  <c r="I432" i="8"/>
  <c r="I431" i="8"/>
  <c r="I430" i="8"/>
  <c r="I429" i="8"/>
  <c r="I428" i="8"/>
  <c r="I427" i="8"/>
  <c r="I424" i="8"/>
  <c r="I423" i="8"/>
  <c r="I422" i="8"/>
  <c r="Q63" i="7"/>
  <c r="G71" i="5"/>
  <c r="I419" i="8"/>
  <c r="I418" i="8"/>
  <c r="I417" i="8"/>
  <c r="I416" i="8"/>
  <c r="I415" i="8"/>
  <c r="I414" i="8"/>
  <c r="Q69" i="7"/>
  <c r="I411" i="8"/>
  <c r="I410" i="8"/>
  <c r="I409" i="8"/>
  <c r="I408" i="8"/>
  <c r="I407" i="8"/>
  <c r="Q68" i="7"/>
  <c r="I383" i="8"/>
  <c r="Q62" i="7"/>
  <c r="K67" i="20" l="1"/>
  <c r="L66" i="20"/>
  <c r="K416" i="8"/>
  <c r="L416" i="8" s="1"/>
  <c r="K418" i="8"/>
  <c r="L418" i="8" s="1"/>
  <c r="K428" i="8"/>
  <c r="L428" i="8" s="1"/>
  <c r="K430" i="8"/>
  <c r="L430" i="8" s="1"/>
  <c r="K432" i="8"/>
  <c r="L432" i="8" s="1"/>
  <c r="K434" i="8"/>
  <c r="L434" i="8" s="1"/>
  <c r="K383" i="8"/>
  <c r="L383" i="8" s="1"/>
  <c r="K410" i="8"/>
  <c r="L410" i="8" s="1"/>
  <c r="K423" i="8"/>
  <c r="L423" i="8" s="1"/>
  <c r="K427" i="8"/>
  <c r="L427" i="8" s="1"/>
  <c r="K429" i="8"/>
  <c r="L429" i="8" s="1"/>
  <c r="K431" i="8"/>
  <c r="L431" i="8" s="1"/>
  <c r="K433" i="8"/>
  <c r="L433" i="8" s="1"/>
  <c r="K435" i="8"/>
  <c r="L435" i="8" s="1"/>
  <c r="K422" i="8"/>
  <c r="L422" i="8" s="1"/>
  <c r="K424" i="8"/>
  <c r="L424" i="8" s="1"/>
  <c r="K414" i="8"/>
  <c r="L414" i="8" s="1"/>
  <c r="K415" i="8"/>
  <c r="L415" i="8" s="1"/>
  <c r="K417" i="8"/>
  <c r="L417" i="8" s="1"/>
  <c r="K419" i="8"/>
  <c r="L419" i="8" s="1"/>
  <c r="K408" i="8"/>
  <c r="L408" i="8" s="1"/>
  <c r="K407" i="8"/>
  <c r="L407" i="8" s="1"/>
  <c r="K409" i="8"/>
  <c r="L409" i="8" s="1"/>
  <c r="K411" i="8"/>
  <c r="L411" i="8" s="1"/>
  <c r="K68" i="20" l="1"/>
  <c r="L67" i="20"/>
  <c r="I374" i="8"/>
  <c r="I373" i="8"/>
  <c r="I372" i="8"/>
  <c r="Q61" i="7"/>
  <c r="Q60" i="7"/>
  <c r="K69" i="20" l="1"/>
  <c r="L68" i="20"/>
  <c r="K373" i="8"/>
  <c r="L373" i="8" s="1"/>
  <c r="K372" i="8"/>
  <c r="L372" i="8" s="1"/>
  <c r="K374" i="8"/>
  <c r="L374" i="8" s="1"/>
  <c r="K70" i="20" l="1"/>
  <c r="L69" i="20"/>
  <c r="H60" i="5"/>
  <c r="K71" i="20" l="1"/>
  <c r="L70" i="20"/>
  <c r="I369" i="8"/>
  <c r="I368" i="8"/>
  <c r="I367" i="8"/>
  <c r="Q33" i="7"/>
  <c r="Q32" i="7"/>
  <c r="Q31" i="7"/>
  <c r="Q30" i="7"/>
  <c r="I145" i="8"/>
  <c r="I144" i="8"/>
  <c r="I141" i="8"/>
  <c r="I140" i="8"/>
  <c r="K72" i="20" l="1"/>
  <c r="L71" i="20"/>
  <c r="K140" i="8"/>
  <c r="L140" i="8" s="1"/>
  <c r="K144" i="8"/>
  <c r="L144" i="8" s="1"/>
  <c r="K368" i="8"/>
  <c r="L368" i="8" s="1"/>
  <c r="K367" i="8"/>
  <c r="L367" i="8" s="1"/>
  <c r="K369" i="8"/>
  <c r="L369" i="8" s="1"/>
  <c r="K145" i="8"/>
  <c r="L145" i="8" s="1"/>
  <c r="K141" i="8"/>
  <c r="L141" i="8" s="1"/>
  <c r="K73" i="20" l="1"/>
  <c r="L72" i="20"/>
  <c r="H59" i="5"/>
  <c r="K74" i="20" l="1"/>
  <c r="L73" i="20"/>
  <c r="I137" i="8"/>
  <c r="I136" i="8"/>
  <c r="Q29" i="7"/>
  <c r="Q28" i="7"/>
  <c r="Q27" i="7"/>
  <c r="Q26" i="7"/>
  <c r="Q25" i="7"/>
  <c r="I101" i="8"/>
  <c r="I100" i="8"/>
  <c r="I99" i="8"/>
  <c r="I98" i="8"/>
  <c r="I97" i="8"/>
  <c r="Q24" i="7"/>
  <c r="I94" i="8"/>
  <c r="I93" i="8"/>
  <c r="I92" i="8"/>
  <c r="I91" i="8"/>
  <c r="I90" i="8"/>
  <c r="Q23" i="7"/>
  <c r="I87" i="8"/>
  <c r="I86" i="8"/>
  <c r="I85" i="8"/>
  <c r="I84" i="8"/>
  <c r="I83" i="8"/>
  <c r="Q22" i="7"/>
  <c r="K75" i="20" l="1"/>
  <c r="L74" i="20"/>
  <c r="K83" i="8"/>
  <c r="L83" i="8" s="1"/>
  <c r="K85" i="8"/>
  <c r="L85" i="8" s="1"/>
  <c r="K87" i="8"/>
  <c r="L87" i="8" s="1"/>
  <c r="K90" i="8"/>
  <c r="L90" i="8" s="1"/>
  <c r="K92" i="8"/>
  <c r="L92" i="8" s="1"/>
  <c r="K94" i="8"/>
  <c r="L94" i="8" s="1"/>
  <c r="K97" i="8"/>
  <c r="L97" i="8" s="1"/>
  <c r="K99" i="8"/>
  <c r="L99" i="8" s="1"/>
  <c r="K136" i="8"/>
  <c r="L136" i="8" s="1"/>
  <c r="K93" i="8"/>
  <c r="L93" i="8" s="1"/>
  <c r="L98" i="8"/>
  <c r="K137" i="8"/>
  <c r="L137" i="8" s="1"/>
  <c r="K101" i="8"/>
  <c r="L101" i="8" s="1"/>
  <c r="K98" i="8"/>
  <c r="K100" i="8"/>
  <c r="L100" i="8" s="1"/>
  <c r="K91" i="8"/>
  <c r="L91" i="8" s="1"/>
  <c r="K84" i="8"/>
  <c r="L84" i="8" s="1"/>
  <c r="K86" i="8"/>
  <c r="L86" i="8" s="1"/>
  <c r="K76" i="20" l="1"/>
  <c r="L75" i="20"/>
  <c r="H23" i="5"/>
  <c r="K77" i="20" l="1"/>
  <c r="L76" i="20"/>
  <c r="P9" i="9"/>
  <c r="P8" i="9"/>
  <c r="P7" i="9"/>
  <c r="P6" i="9"/>
  <c r="K78" i="20" l="1"/>
  <c r="L77" i="20"/>
  <c r="I524" i="8"/>
  <c r="I521" i="8"/>
  <c r="K79" i="20" l="1"/>
  <c r="L78" i="20"/>
  <c r="K521" i="8"/>
  <c r="L521" i="8" s="1"/>
  <c r="H84" i="5" s="1"/>
  <c r="I84" i="5" s="1"/>
  <c r="I21" i="6" s="1"/>
  <c r="K524" i="8"/>
  <c r="L524" i="8" s="1"/>
  <c r="K80" i="20" l="1"/>
  <c r="L79" i="20"/>
  <c r="I495" i="8"/>
  <c r="I494" i="8"/>
  <c r="I493" i="8"/>
  <c r="I491" i="8"/>
  <c r="I490" i="8"/>
  <c r="I489" i="8"/>
  <c r="I486" i="8"/>
  <c r="I485" i="8"/>
  <c r="I484" i="8"/>
  <c r="I481" i="8"/>
  <c r="I480" i="8"/>
  <c r="I479" i="8"/>
  <c r="I475" i="8"/>
  <c r="I474" i="8"/>
  <c r="I473" i="8"/>
  <c r="I470" i="8"/>
  <c r="I469" i="8"/>
  <c r="I468" i="8"/>
  <c r="K81" i="20" l="1"/>
  <c r="L80" i="20"/>
  <c r="K468" i="8"/>
  <c r="L468" i="8" s="1"/>
  <c r="K470" i="8"/>
  <c r="L470" i="8" s="1"/>
  <c r="K474" i="8"/>
  <c r="L474" i="8" s="1"/>
  <c r="K481" i="8"/>
  <c r="L481" i="8" s="1"/>
  <c r="K485" i="8"/>
  <c r="L485" i="8"/>
  <c r="K491" i="8"/>
  <c r="L491" i="8" s="1"/>
  <c r="K494" i="8"/>
  <c r="L494" i="8" s="1"/>
  <c r="K469" i="8"/>
  <c r="L469" i="8" s="1"/>
  <c r="K473" i="8"/>
  <c r="L473" i="8" s="1"/>
  <c r="K475" i="8"/>
  <c r="L475" i="8" s="1"/>
  <c r="K480" i="8"/>
  <c r="L480" i="8" s="1"/>
  <c r="K484" i="8"/>
  <c r="L484" i="8" s="1"/>
  <c r="K486" i="8"/>
  <c r="L486" i="8" s="1"/>
  <c r="K490" i="8"/>
  <c r="L490" i="8" s="1"/>
  <c r="K493" i="8"/>
  <c r="L493" i="8" s="1"/>
  <c r="K495" i="8"/>
  <c r="L495" i="8" s="1"/>
  <c r="K489" i="8"/>
  <c r="L489" i="8" s="1"/>
  <c r="K479" i="8"/>
  <c r="L479" i="8" s="1"/>
  <c r="K82" i="20" l="1"/>
  <c r="L81" i="20"/>
  <c r="H77" i="5"/>
  <c r="H76" i="5"/>
  <c r="H75" i="5"/>
  <c r="K83" i="20" l="1"/>
  <c r="L83" i="20" s="1"/>
  <c r="L82" i="20"/>
  <c r="I465" i="8"/>
  <c r="I461" i="8"/>
  <c r="I458" i="8"/>
  <c r="G77" i="5"/>
  <c r="G76" i="5"/>
  <c r="G75" i="5"/>
  <c r="T14" i="20" l="1"/>
  <c r="S13" i="20"/>
  <c r="S12" i="20"/>
  <c r="S14" i="20"/>
  <c r="T12" i="20"/>
  <c r="T13" i="20"/>
  <c r="K461" i="8"/>
  <c r="L461" i="8" s="1"/>
  <c r="K465" i="8"/>
  <c r="L465" i="8" s="1"/>
  <c r="K458" i="8"/>
  <c r="H71" i="5"/>
  <c r="L458" i="8" l="1"/>
  <c r="H73" i="5" s="1"/>
  <c r="H74" i="5"/>
  <c r="I406" i="8"/>
  <c r="G67" i="5"/>
  <c r="I382" i="8"/>
  <c r="I381" i="8"/>
  <c r="G62" i="5"/>
  <c r="G61" i="5"/>
  <c r="G32" i="5"/>
  <c r="I149" i="8"/>
  <c r="I148" i="8"/>
  <c r="G31" i="5"/>
  <c r="G30" i="5"/>
  <c r="G29" i="5"/>
  <c r="G24" i="5"/>
  <c r="G23" i="5"/>
  <c r="G22" i="5"/>
  <c r="I77" i="5"/>
  <c r="I76" i="5"/>
  <c r="I75" i="5"/>
  <c r="K148" i="8" l="1"/>
  <c r="L148" i="8" s="1"/>
  <c r="K382" i="8"/>
  <c r="L382" i="8" s="1"/>
  <c r="K406" i="8"/>
  <c r="L406" i="8" s="1"/>
  <c r="L381" i="8"/>
  <c r="K381" i="8"/>
  <c r="K149" i="8"/>
  <c r="L149" i="8" s="1"/>
  <c r="H31" i="5"/>
  <c r="H30" i="5"/>
  <c r="I24" i="5"/>
  <c r="I23" i="5"/>
  <c r="H22" i="5"/>
  <c r="I22" i="5" s="1"/>
  <c r="H29" i="5" l="1"/>
  <c r="H62" i="5"/>
  <c r="I62" i="5" s="1"/>
  <c r="H32" i="5"/>
  <c r="D20" i="9" l="1"/>
  <c r="D19" i="6"/>
  <c r="D18" i="9" s="1"/>
  <c r="D17" i="6"/>
  <c r="D16" i="9" s="1"/>
  <c r="D15" i="6"/>
  <c r="D14" i="9" s="1"/>
  <c r="I436" i="8" l="1"/>
  <c r="I378" i="8"/>
  <c r="I377" i="8"/>
  <c r="H21" i="5"/>
  <c r="K378" i="8" l="1"/>
  <c r="L378" i="8" s="1"/>
  <c r="K436" i="8"/>
  <c r="K377" i="8"/>
  <c r="L377" i="8" s="1"/>
  <c r="L436" i="8" l="1"/>
  <c r="H61" i="5"/>
  <c r="I61" i="5" s="1"/>
  <c r="G60" i="5" l="1"/>
  <c r="G59" i="5"/>
  <c r="I59" i="5" s="1"/>
  <c r="I32" i="5" l="1"/>
  <c r="I31" i="5"/>
  <c r="I30" i="5"/>
  <c r="G28" i="5"/>
  <c r="I28" i="5" s="1"/>
  <c r="G25" i="5" l="1"/>
  <c r="I25" i="5" s="1"/>
  <c r="G21" i="5"/>
  <c r="I21" i="5" s="1"/>
  <c r="G45" i="17" l="1"/>
  <c r="F45" i="17"/>
  <c r="G41" i="17"/>
  <c r="F41" i="17"/>
  <c r="G34" i="17"/>
  <c r="F34" i="17"/>
  <c r="G22" i="17"/>
  <c r="F22" i="17"/>
  <c r="G46" i="17" l="1"/>
  <c r="F46" i="17"/>
  <c r="I5" i="8" l="1"/>
  <c r="I4" i="8"/>
  <c r="H7" i="6" l="1"/>
  <c r="H6" i="6"/>
  <c r="H5" i="6"/>
  <c r="H4" i="6"/>
  <c r="E6" i="10"/>
  <c r="E5" i="10"/>
  <c r="E4" i="10"/>
  <c r="E6" i="17" s="1"/>
  <c r="E8" i="9"/>
  <c r="E7" i="9"/>
  <c r="E6" i="9"/>
  <c r="G69" i="5"/>
  <c r="G68" i="5"/>
  <c r="G27" i="5"/>
  <c r="G26" i="5"/>
  <c r="O8" i="7"/>
  <c r="I7" i="8" s="1"/>
  <c r="O7" i="7"/>
  <c r="I6" i="8" s="1"/>
  <c r="E7" i="7"/>
  <c r="E6" i="8" s="1"/>
  <c r="O6" i="7"/>
  <c r="E6" i="7"/>
  <c r="E5" i="8" s="1"/>
  <c r="O5" i="7"/>
  <c r="E5" i="7"/>
  <c r="E4" i="8" s="1"/>
  <c r="E6" i="6"/>
  <c r="D6" i="6"/>
  <c r="E5" i="6"/>
  <c r="D5" i="6"/>
  <c r="E4" i="6"/>
  <c r="D4" i="6"/>
  <c r="I73" i="5" l="1"/>
  <c r="I26" i="5"/>
  <c r="H67" i="5"/>
  <c r="I67" i="5" s="1"/>
  <c r="I74" i="5" l="1"/>
  <c r="I27" i="5"/>
  <c r="I60" i="5"/>
  <c r="H68" i="5"/>
  <c r="I68" i="5" s="1"/>
  <c r="I19" i="6" l="1"/>
  <c r="R18" i="9" s="1"/>
  <c r="H70" i="5"/>
  <c r="I70" i="5" s="1"/>
  <c r="H69" i="5"/>
  <c r="I69" i="5" s="1"/>
  <c r="I29" i="5"/>
  <c r="I15" i="6" l="1"/>
  <c r="Q19" i="9"/>
  <c r="O19" i="9"/>
  <c r="M19" i="9"/>
  <c r="K19" i="9"/>
  <c r="I19" i="9"/>
  <c r="G19" i="9"/>
  <c r="P19" i="9"/>
  <c r="N19" i="9"/>
  <c r="L19" i="9"/>
  <c r="J19" i="9"/>
  <c r="H19" i="9"/>
  <c r="F19" i="9"/>
  <c r="I71" i="5"/>
  <c r="R14" i="9" l="1"/>
  <c r="R20" i="9"/>
  <c r="J15" i="9" l="1"/>
  <c r="F15" i="9"/>
  <c r="L15" i="9"/>
  <c r="K15" i="9"/>
  <c r="N15" i="9"/>
  <c r="M15" i="9"/>
  <c r="P15" i="9"/>
  <c r="O15" i="9"/>
  <c r="G15" i="9"/>
  <c r="Q15" i="9"/>
  <c r="I17" i="6"/>
  <c r="Q21" i="9"/>
  <c r="O21" i="9"/>
  <c r="M21" i="9"/>
  <c r="K21" i="9"/>
  <c r="I21" i="9"/>
  <c r="G21" i="9"/>
  <c r="P21" i="9"/>
  <c r="N21" i="9"/>
  <c r="L21" i="9"/>
  <c r="J21" i="9"/>
  <c r="H21" i="9"/>
  <c r="F21" i="9"/>
  <c r="H15" i="9"/>
  <c r="I15" i="9"/>
  <c r="I25" i="6" l="1"/>
  <c r="J13" i="6" s="1"/>
  <c r="R16" i="9"/>
  <c r="R24" i="9" s="1"/>
  <c r="J17" i="6" l="1"/>
  <c r="J23" i="6"/>
  <c r="O17" i="9"/>
  <c r="O24" i="9" s="1"/>
  <c r="Q17" i="9"/>
  <c r="Q24" i="9" s="1"/>
  <c r="P17" i="9"/>
  <c r="P24" i="9" s="1"/>
  <c r="J17" i="9"/>
  <c r="J24" i="9" s="1"/>
  <c r="G17" i="9"/>
  <c r="G24" i="9" s="1"/>
  <c r="I17" i="9"/>
  <c r="I24" i="9" s="1"/>
  <c r="F17" i="9"/>
  <c r="F24" i="9" s="1"/>
  <c r="K17" i="9"/>
  <c r="K24" i="9" s="1"/>
  <c r="H17" i="9"/>
  <c r="H24" i="9" s="1"/>
  <c r="L17" i="9"/>
  <c r="L24" i="9" s="1"/>
  <c r="M17" i="9"/>
  <c r="M24" i="9" s="1"/>
  <c r="N17" i="9"/>
  <c r="N24" i="9" s="1"/>
  <c r="J21" i="6"/>
  <c r="J19" i="6"/>
  <c r="J15" i="6"/>
  <c r="J25" i="9" l="1"/>
  <c r="F25" i="9"/>
  <c r="F26" i="9"/>
  <c r="M25" i="9"/>
  <c r="I25" i="9"/>
  <c r="Q25" i="9"/>
  <c r="N25" i="9"/>
  <c r="L25" i="9"/>
  <c r="G25" i="9"/>
  <c r="G26" i="9"/>
  <c r="H26" i="9" s="1"/>
  <c r="O25" i="9"/>
  <c r="K25" i="9"/>
  <c r="H25" i="9"/>
  <c r="P25" i="9"/>
  <c r="I26" i="9" l="1"/>
  <c r="J26" i="9" l="1"/>
  <c r="K26" i="9" l="1"/>
  <c r="L26" i="9" l="1"/>
  <c r="M26" i="9" l="1"/>
  <c r="N26" i="9" l="1"/>
  <c r="O26" i="9" l="1"/>
  <c r="P26" i="9" l="1"/>
  <c r="Q26" i="9" l="1"/>
  <c r="R26" i="9" l="1"/>
  <c r="G27" i="9" l="1"/>
  <c r="F27" i="9"/>
  <c r="H27" i="9"/>
  <c r="I27" i="9"/>
  <c r="J27" i="9"/>
  <c r="K27" i="9"/>
  <c r="L27" i="9"/>
  <c r="M27" i="9"/>
  <c r="N27" i="9"/>
  <c r="O27" i="9"/>
  <c r="P27" i="9"/>
  <c r="Q27" i="9"/>
</calcChain>
</file>

<file path=xl/sharedStrings.xml><?xml version="1.0" encoding="utf-8"?>
<sst xmlns="http://schemas.openxmlformats.org/spreadsheetml/2006/main" count="3532" uniqueCount="1246">
  <si>
    <t>População residente, total, urbana total e urbana na sede municipal, em números absolutos e relativos, com indicação da área total e densidade demográfica, segundo as Unidades da Federação e os municípios – 2010</t>
  </si>
  <si>
    <t>Município</t>
  </si>
  <si>
    <t>Total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</si>
  <si>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</si>
  <si>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</si>
  <si>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</si>
  <si>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</si>
  <si>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</si>
  <si>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</si>
  <si>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</si>
  <si>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</si>
  <si>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</si>
  <si>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</si>
  <si>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</si>
  <si>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</si>
  <si>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</si>
  <si>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</si>
  <si>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</si>
  <si>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</si>
  <si>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</si>
  <si>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</si>
  <si>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</si>
  <si>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</si>
  <si>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</si>
  <si>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</si>
  <si>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</si>
  <si>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</si>
  <si>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</si>
  <si>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</si>
  <si>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</si>
  <si>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</si>
  <si>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</si>
  <si>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</si>
  <si>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</si>
  <si>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</si>
  <si>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</si>
  <si>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</si>
  <si>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</si>
  <si>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</si>
  <si>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</si>
  <si>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</si>
  <si>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</si>
  <si>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</si>
  <si>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</si>
  <si>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</si>
  <si>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</si>
  <si>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</si>
  <si>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</si>
  <si>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</si>
  <si>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</si>
  <si>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</si>
  <si>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</si>
  <si>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</si>
  <si>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</si>
  <si>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</si>
  <si>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</si>
  <si>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</si>
  <si>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</si>
  <si>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</si>
  <si>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</si>
  <si>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</si>
  <si>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</si>
  <si>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</si>
  <si>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</si>
  <si>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</si>
  <si>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</si>
  <si>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</si>
  <si>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</si>
  <si>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</si>
  <si>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</si>
  <si>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</si>
  <si>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</si>
  <si>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</si>
  <si>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</si>
  <si>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</si>
  <si>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</si>
  <si>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</si>
  <si>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</si>
  <si>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</si>
  <si>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</si>
  <si>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</si>
  <si>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</si>
  <si>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</si>
  <si>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</si>
  <si>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</si>
  <si>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</si>
  <si>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</si>
  <si>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</si>
  <si>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</si>
  <si>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</si>
  <si>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</si>
  <si>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</si>
  <si>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</si>
  <si>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</si>
  <si>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</si>
  <si>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</si>
  <si>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</si>
  <si>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</si>
  <si>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</si>
  <si>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</si>
  <si>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</si>
  <si>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</si>
  <si>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</si>
  <si>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</si>
  <si>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</si>
  <si>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</si>
  <si>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</si>
  <si>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</si>
  <si>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</si>
  <si>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</si>
  <si>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</si>
  <si>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</si>
  <si>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</si>
  <si>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</si>
  <si>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</si>
  <si>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</si>
  <si>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</si>
  <si>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</si>
  <si>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</si>
  <si>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</si>
  <si>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</si>
  <si>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</si>
  <si>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</si>
  <si>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</si>
  <si>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</si>
  <si>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</si>
  <si>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</si>
  <si>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</si>
  <si>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</si>
  <si>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</si>
  <si>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</si>
  <si>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</si>
  <si>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</si>
  <si>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</si>
  <si>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</si>
  <si>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</si>
  <si>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</si>
  <si>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</si>
  <si>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</si>
  <si>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</si>
  <si>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</si>
  <si>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</si>
  <si>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</si>
  <si>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</si>
  <si>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</si>
  <si>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</si>
  <si>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</si>
  <si>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</si>
  <si>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</si>
  <si>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</si>
  <si>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</si>
  <si>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</si>
  <si>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</si>
  <si>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</si>
  <si>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</si>
  <si>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</si>
  <si>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</si>
  <si>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</si>
  <si>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</si>
  <si>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</si>
  <si>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</si>
  <si>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</si>
  <si>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</si>
  <si>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</si>
  <si>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</si>
  <si>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</si>
  <si>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</si>
  <si>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</si>
  <si>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</si>
  <si>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</si>
  <si>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</si>
  <si>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</si>
  <si>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</si>
  <si>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</si>
  <si>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</si>
  <si>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</si>
  <si>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</si>
  <si>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</si>
  <si>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</si>
  <si>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</si>
  <si>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</si>
  <si>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</si>
  <si>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</si>
  <si>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</si>
  <si>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</si>
  <si>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</si>
  <si>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</si>
  <si>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</si>
  <si>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</si>
  <si>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</si>
  <si>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</si>
  <si>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</si>
  <si>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</si>
  <si>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</si>
  <si>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</si>
  <si>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</si>
  <si>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</si>
  <si>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</si>
  <si>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</si>
  <si>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</si>
  <si>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</si>
  <si>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</si>
  <si>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</si>
  <si>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</si>
  <si>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</si>
  <si>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</si>
  <si>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</si>
  <si>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</si>
  <si>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</si>
  <si>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</si>
  <si>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</si>
  <si>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</si>
  <si>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</si>
  <si>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</si>
  <si>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</si>
  <si>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</si>
  <si>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</si>
  <si>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</si>
  <si>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</si>
  <si>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</si>
  <si>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Fonte: IBGE, Censo Demográfico 2010.</t>
  </si>
  <si>
    <t>(1) Exclusive a população residente nas áreas urbanas isoladas. (2) Valores incluindo as águas interiores.</t>
  </si>
  <si>
    <t>Municípios</t>
  </si>
  <si>
    <t>Área (km²)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</si>
  <si>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</si>
  <si>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</si>
  <si>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</si>
  <si>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</si>
  <si>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</si>
  <si>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</si>
  <si>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</si>
  <si>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</si>
  <si>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</si>
  <si>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</si>
  <si>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</si>
  <si>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</si>
  <si>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</si>
  <si>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</si>
  <si>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</si>
  <si>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</si>
  <si>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</si>
  <si>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</si>
  <si>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</si>
  <si>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</si>
  <si>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</si>
  <si>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</si>
  <si>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</si>
  <si>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</si>
  <si>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</si>
  <si>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</si>
  <si>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</si>
  <si>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</si>
  <si>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</si>
  <si>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</si>
  <si>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</si>
  <si>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</si>
  <si>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</si>
  <si>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</si>
  <si>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</si>
  <si>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</si>
  <si>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</si>
  <si>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</si>
  <si>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</si>
  <si>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</si>
  <si>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</si>
  <si>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</si>
  <si>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</si>
  <si>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</si>
  <si>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</si>
  <si>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</si>
  <si>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</si>
  <si>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</si>
  <si>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</si>
  <si>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</si>
  <si>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</si>
  <si>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</si>
  <si>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</si>
  <si>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</si>
  <si>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</si>
  <si>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</si>
  <si>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</si>
  <si>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</si>
  <si>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</si>
  <si>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</si>
  <si>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</si>
  <si>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</si>
  <si>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</si>
  <si>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</si>
  <si>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</si>
  <si>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</si>
  <si>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</si>
  <si>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</si>
  <si>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</si>
  <si>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</si>
  <si>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</si>
  <si>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</si>
  <si>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</si>
  <si>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</si>
  <si>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</si>
  <si>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</si>
  <si>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</si>
  <si>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</si>
  <si>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</si>
  <si>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</si>
  <si>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</si>
  <si>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</si>
  <si>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</si>
  <si>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</si>
  <si>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</si>
  <si>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</si>
  <si>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</si>
  <si>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</si>
  <si>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</si>
  <si>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</si>
  <si>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</si>
  <si>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</si>
  <si>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</si>
  <si>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</si>
  <si>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</si>
  <si>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</si>
  <si>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</si>
  <si>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</si>
  <si>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</si>
  <si>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</si>
  <si>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</si>
  <si>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</si>
  <si>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</si>
  <si>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</si>
  <si>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</si>
  <si>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</si>
  <si>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</si>
  <si>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</si>
  <si>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</si>
  <si>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</si>
  <si>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</si>
  <si>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</si>
  <si>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</si>
  <si>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</si>
  <si>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</si>
  <si>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</si>
  <si>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</si>
  <si>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</si>
  <si>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</si>
  <si>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</si>
  <si>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</si>
  <si>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</si>
  <si>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</si>
  <si>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</si>
  <si>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</si>
  <si>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</si>
  <si>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</si>
  <si>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d`Água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</si>
  <si>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</si>
  <si>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</si>
  <si>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</si>
  <si>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</si>
  <si>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</si>
  <si>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</si>
  <si>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</si>
  <si>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</si>
  <si>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</si>
  <si>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</si>
  <si>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</si>
  <si>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</si>
  <si>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</si>
  <si>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</si>
  <si>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</si>
  <si>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</si>
  <si>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</si>
  <si>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</si>
  <si>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</si>
  <si>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</si>
  <si>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</si>
  <si>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</si>
  <si>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</si>
  <si>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</si>
  <si>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</si>
  <si>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</si>
  <si>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</si>
  <si>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</si>
  <si>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</si>
  <si>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</si>
  <si>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</si>
  <si>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</si>
  <si>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</si>
  <si>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</si>
  <si>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</si>
  <si>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</si>
  <si>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</si>
  <si>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</si>
  <si>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</si>
  <si>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</si>
  <si>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</si>
  <si>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</si>
  <si>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</si>
  <si>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</si>
  <si>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</si>
  <si>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</si>
  <si>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</si>
  <si>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</si>
  <si>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</si>
  <si>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</si>
  <si>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</si>
  <si>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</si>
  <si>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</si>
  <si>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</si>
  <si>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</si>
  <si>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</si>
  <si>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</si>
  <si>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</si>
  <si>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</si>
  <si>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</si>
  <si>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</si>
  <si>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</si>
  <si>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</si>
  <si>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</si>
  <si>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</si>
  <si>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</si>
  <si>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</si>
  <si>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</si>
  <si>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</si>
  <si>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</si>
  <si>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</si>
  <si>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</si>
  <si>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</si>
  <si>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</si>
  <si>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</si>
  <si>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</si>
  <si>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</si>
  <si>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</si>
  <si>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</si>
  <si>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</si>
  <si>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</si>
  <si>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</si>
  <si>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</si>
  <si>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</si>
  <si>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</si>
  <si>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</si>
  <si>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</si>
  <si>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</si>
  <si>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</si>
  <si>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Mesorregião</t>
  </si>
  <si>
    <t>Microrregião</t>
  </si>
  <si>
    <t>Oeste Maranhense</t>
  </si>
  <si>
    <t>Leste Maranhense</t>
  </si>
  <si>
    <t>Baixo Parnaíba Maranhense</t>
  </si>
  <si>
    <t>Norte Maranhense</t>
  </si>
  <si>
    <t>Litoral Ocidental Maranhense</t>
  </si>
  <si>
    <t>Pindaré</t>
  </si>
  <si>
    <t>Sul Maranhense</t>
  </si>
  <si>
    <t xml:space="preserve"> Gerais de Balsas</t>
  </si>
  <si>
    <t>Gurupi</t>
  </si>
  <si>
    <t>Baixada Maranhense</t>
  </si>
  <si>
    <t>Centro Maranhense</t>
  </si>
  <si>
    <t>Alto Mearim e Grajaú</t>
  </si>
  <si>
    <t>Médio Mearim</t>
  </si>
  <si>
    <t>Chapadas do Alto Itapecuru</t>
  </si>
  <si>
    <t>Lençóis Maranhenses</t>
  </si>
  <si>
    <t>Chapadas das Mangabeiras</t>
  </si>
  <si>
    <t>Itapecuru-Mirim</t>
  </si>
  <si>
    <t>Olho d'Água das Cunhãs</t>
  </si>
  <si>
    <t>Aglomeração Urbana de São Luís</t>
  </si>
  <si>
    <t>PREFEITURA MUNICIPAL DE SANTO ANTONIO DOS LOPES</t>
  </si>
  <si>
    <t>AÇÃO:</t>
  </si>
  <si>
    <t>Leis Sociais Mensalistas:</t>
  </si>
  <si>
    <t>MUNICÍPIO:</t>
  </si>
  <si>
    <t>SANTO ANTÔNIO DOS LOPES - MA</t>
  </si>
  <si>
    <t>Leis Sociais Horista:</t>
  </si>
  <si>
    <t>LOCALIDADE:</t>
  </si>
  <si>
    <t>Data Base:</t>
  </si>
  <si>
    <t>BDI:</t>
  </si>
  <si>
    <t>PLANILHA ORÇAMENTÁRIA</t>
  </si>
  <si>
    <t>ITEM</t>
  </si>
  <si>
    <t>REFERÊNCIA PREÇO</t>
  </si>
  <si>
    <t xml:space="preserve">DISCRIMINAÇÃO DETALHADA </t>
  </si>
  <si>
    <t>UNID.</t>
  </si>
  <si>
    <t>QUANT.</t>
  </si>
  <si>
    <t>P. UNIT C/ BDI</t>
  </si>
  <si>
    <t>TOTAL</t>
  </si>
  <si>
    <t>1.0</t>
  </si>
  <si>
    <t>1.1</t>
  </si>
  <si>
    <t>UND</t>
  </si>
  <si>
    <t>1.2</t>
  </si>
  <si>
    <t>1.3</t>
  </si>
  <si>
    <t>M²</t>
  </si>
  <si>
    <t>1.4</t>
  </si>
  <si>
    <t>M</t>
  </si>
  <si>
    <t>M2</t>
  </si>
  <si>
    <t>2.0</t>
  </si>
  <si>
    <t>2.1</t>
  </si>
  <si>
    <t>M³</t>
  </si>
  <si>
    <t>2.2</t>
  </si>
  <si>
    <t>2.3</t>
  </si>
  <si>
    <t>3.0</t>
  </si>
  <si>
    <t>4.0</t>
  </si>
  <si>
    <t>4.1</t>
  </si>
  <si>
    <t>4.2</t>
  </si>
  <si>
    <t>CHP</t>
  </si>
  <si>
    <t>4.3</t>
  </si>
  <si>
    <t>4.4</t>
  </si>
  <si>
    <t>KG</t>
  </si>
  <si>
    <t>M3</t>
  </si>
  <si>
    <t>TOTAL GERAL COM BDI</t>
  </si>
  <si>
    <t>Leis Sociais Mensalista:</t>
  </si>
  <si>
    <t>ORÇAMENTO SINTÉTICO</t>
  </si>
  <si>
    <t>DESCRIÇÃO DOS SERVIÇOS</t>
  </si>
  <si>
    <t>TOTAL                   (R$)</t>
  </si>
  <si>
    <t>PESO         (%)</t>
  </si>
  <si>
    <t>PREFEITURA MUNICIPAL DE SANTO ANTONIO DOS LOPES - MA</t>
  </si>
  <si>
    <t>MEMORIA DE CÁLCULO</t>
  </si>
  <si>
    <t>COMP/UND</t>
  </si>
  <si>
    <t>LARG</t>
  </si>
  <si>
    <t>ALT/PROF</t>
  </si>
  <si>
    <t>ÁREA</t>
  </si>
  <si>
    <t>3.1</t>
  </si>
  <si>
    <t>3.2</t>
  </si>
  <si>
    <t>3.3</t>
  </si>
  <si>
    <t>COMPOSIÇÕES UNITÁRIAS</t>
  </si>
  <si>
    <t>CODIGO</t>
  </si>
  <si>
    <t>DESCRIÇÃO</t>
  </si>
  <si>
    <t>QUANT</t>
  </si>
  <si>
    <t>PRE UNT</t>
  </si>
  <si>
    <t>PREÇO TOTAL</t>
  </si>
  <si>
    <t>%</t>
  </si>
  <si>
    <t>VALOR BDI</t>
  </si>
  <si>
    <t>VALOR TOTAL</t>
  </si>
  <si>
    <t>SUBTOTAL</t>
  </si>
  <si>
    <t>CARPINTEIRO DE FORMAS COM ENCARGOS COMPLEMENTARES</t>
  </si>
  <si>
    <t>H</t>
  </si>
  <si>
    <t>SERVENTE COM ENCARGOS COMPLEMENTARES</t>
  </si>
  <si>
    <t>L</t>
  </si>
  <si>
    <t>AJUDANTE DE CARPINTEIRO COM ENCARGOS COMPLEMENTARES</t>
  </si>
  <si>
    <t>CHI</t>
  </si>
  <si>
    <t>PEDREIRO COM ENCARGOS COMPLEMENTARES</t>
  </si>
  <si>
    <t>AREIA MEDIA - POSTO JAZIDA/FORNECEDOR (RETIRADO NA JAZIDA, SEM TRANSPORTE)</t>
  </si>
  <si>
    <t>CIMENTO PORTLAND COMPOSTO CP II-32</t>
  </si>
  <si>
    <t>PEDRA BRITADA N. 1 (9,5 a 19 MM) POSTO PEDREIRA/FORNECEDOR, SEM FRETE</t>
  </si>
  <si>
    <t>OPERADOR DE BETONEIRA ESTACIONÁRIA/MISTURADOR COM ENCARGOS COMPLEMENTARES</t>
  </si>
  <si>
    <t>Obs:</t>
  </si>
  <si>
    <t>CRONOGRAMA</t>
  </si>
  <si>
    <t>SERVIÇOS</t>
  </si>
  <si>
    <t>30 DIAS</t>
  </si>
  <si>
    <t>60 DIAS</t>
  </si>
  <si>
    <t>90 DIAS</t>
  </si>
  <si>
    <t>120 DIAS</t>
  </si>
  <si>
    <t>150 DIAS</t>
  </si>
  <si>
    <t>VALOR</t>
  </si>
  <si>
    <t>VALOR SIMPLES  COM BDI</t>
  </si>
  <si>
    <t xml:space="preserve">PERCENTUAL SIMPLES </t>
  </si>
  <si>
    <t>VALOR ACUMULADO</t>
  </si>
  <si>
    <t xml:space="preserve">PERCENTUAL ACUMULADO </t>
  </si>
  <si>
    <t>MUNICÍPO:</t>
  </si>
  <si>
    <t>COMPOSIÇÃO ANALÍTICA DA TAXA DE BONIFICAÇÃO E DESPESAS INDIRETAS (BDI)</t>
  </si>
  <si>
    <t>CUSTOS INDIRETOS</t>
  </si>
  <si>
    <t xml:space="preserve">Administração Central </t>
  </si>
  <si>
    <t xml:space="preserve">Seguros </t>
  </si>
  <si>
    <t>Riscos</t>
  </si>
  <si>
    <t>Garantia</t>
  </si>
  <si>
    <t>Despesas Financeiras</t>
  </si>
  <si>
    <t>LUCRO</t>
  </si>
  <si>
    <t>Lucro</t>
  </si>
  <si>
    <t>TRIBUTOS</t>
  </si>
  <si>
    <t>Pis</t>
  </si>
  <si>
    <t>Cofins</t>
  </si>
  <si>
    <t xml:space="preserve">ISSQN </t>
  </si>
  <si>
    <t>CPRB</t>
  </si>
  <si>
    <t>TAXA TOTAL DE BDI</t>
  </si>
  <si>
    <t>Segundo Acórdão 2622/2013 do Tribunal de Contas da União – TCU, o cálculo do BDI deve ser feito da seguinte maneira:</t>
  </si>
  <si>
    <t>limite do TCU</t>
  </si>
  <si>
    <t>AC  →  Administração Central</t>
  </si>
  <si>
    <t>S  →  Seguro</t>
  </si>
  <si>
    <t xml:space="preserve">R    →  Riscos </t>
  </si>
  <si>
    <t>G     →  Garantia</t>
  </si>
  <si>
    <t>DF    →  Despesas Financeiras</t>
  </si>
  <si>
    <t>L  →  Taxa de Lucro/Remuneração</t>
  </si>
  <si>
    <t>I  →  Incidência de Impostos (PIS(0,65%), COFINS(3%), ISS(MUN.) CPRB 2%)</t>
  </si>
  <si>
    <t>cprb a partir nov/15  - 4,50%</t>
  </si>
  <si>
    <t>BDI  PARA OBRAS RODOVIARIAS SEM CPRB</t>
  </si>
  <si>
    <t>BDI PARA OBRAS PREDIAIS SEM CPRB</t>
  </si>
  <si>
    <t>BDI PARA OBRAS DE SANEAMENTO SEM CPRB</t>
  </si>
  <si>
    <t>ENCARGOS SOCIAIS SOBRE PREÇOS DA MÃO DE OBRA HORISTA E MENSALISTA</t>
  </si>
  <si>
    <t>VIGÊNCIA A PARTIR DE 10/2018 - Fonte: SINAPI / Caixa Econômica Federal</t>
  </si>
  <si>
    <t>CÓDIGO</t>
  </si>
  <si>
    <t>HORISTA (%)</t>
  </si>
  <si>
    <t>MENSALISTA(%)</t>
  </si>
  <si>
    <t>GRUPO A - ENCARGOS SOCIAIS BÁSICOS</t>
  </si>
  <si>
    <t>A 1</t>
  </si>
  <si>
    <t>INSS - Artigo 22 Inciso I Lei 8.212/91</t>
  </si>
  <si>
    <t>A 2</t>
  </si>
  <si>
    <t>SESI ou SESC - Artigo 3° Lei 8.036/90</t>
  </si>
  <si>
    <t>A 3</t>
  </si>
  <si>
    <t>SENAI ou SENAC - Decreto 2.318/86</t>
  </si>
  <si>
    <t>A 4</t>
  </si>
  <si>
    <t>INCRA - Lei 7.787 de 30/06/89 e DL 1.146/70</t>
  </si>
  <si>
    <t>A 5</t>
  </si>
  <si>
    <t>SEBRAE - Artigo 8° Lei 8.029/90 e Lei 8.154 de 28/12/90</t>
  </si>
  <si>
    <t>A 6</t>
  </si>
  <si>
    <t>Salário Educação - Artigo 3° Inciso I Decreto 8.704/82</t>
  </si>
  <si>
    <t>A 7</t>
  </si>
  <si>
    <t>Seguro Acidente do Trabalho/SAT/INSS</t>
  </si>
  <si>
    <t>A 8</t>
  </si>
  <si>
    <t>FGTS - Artigo 15 Lei 8.030 e Artigo 7° Inciso III CF/88</t>
  </si>
  <si>
    <t>A 9</t>
  </si>
  <si>
    <t>SECONCI</t>
  </si>
  <si>
    <t>A</t>
  </si>
  <si>
    <t>GRUPO B - ENCARGOS QUE RECEBEM INCIDÊNCIA DO GRUPO A</t>
  </si>
  <si>
    <t>B 1</t>
  </si>
  <si>
    <t>Repouso Semanal Remunerado</t>
  </si>
  <si>
    <t>Não incide</t>
  </si>
  <si>
    <t>B 2</t>
  </si>
  <si>
    <t>Feriados</t>
  </si>
  <si>
    <t>B 3</t>
  </si>
  <si>
    <t>Auxílio-Enfermidade</t>
  </si>
  <si>
    <t>B 4</t>
  </si>
  <si>
    <t>13º Salário</t>
  </si>
  <si>
    <t>B 5</t>
  </si>
  <si>
    <t>Licença Paternidade</t>
  </si>
  <si>
    <t>B 6</t>
  </si>
  <si>
    <t>Faltas justificadas</t>
  </si>
  <si>
    <t>B 7</t>
  </si>
  <si>
    <t>Dias de Chuvas</t>
  </si>
  <si>
    <t>B 8</t>
  </si>
  <si>
    <t>Auxilio Acidente do Trabalho</t>
  </si>
  <si>
    <t>B 9</t>
  </si>
  <si>
    <t>Férias Gosadas</t>
  </si>
  <si>
    <t>B 10</t>
  </si>
  <si>
    <t>Salário Maternidade</t>
  </si>
  <si>
    <t>B</t>
  </si>
  <si>
    <t>GRUPO C - ENCARGOS QUE NÂO RECEBEM INCIDÊNCIA DO GRUPO B</t>
  </si>
  <si>
    <t>C 1</t>
  </si>
  <si>
    <t>Aviso Prévio indenizado</t>
  </si>
  <si>
    <t>C2</t>
  </si>
  <si>
    <t>Aviso Prévio Trabalhado</t>
  </si>
  <si>
    <t>C 3</t>
  </si>
  <si>
    <t xml:space="preserve">Férias  (indenizadas) </t>
  </si>
  <si>
    <t>C 4</t>
  </si>
  <si>
    <t>Depósito Rescisão Sem Justa Causa</t>
  </si>
  <si>
    <t>C 5</t>
  </si>
  <si>
    <t>Indenização Adicional</t>
  </si>
  <si>
    <t>C</t>
  </si>
  <si>
    <t>GRUPO D - INCIDÊNCIA DO GRUPO A SOBRE O GRUPO B</t>
  </si>
  <si>
    <t>D 1</t>
  </si>
  <si>
    <t xml:space="preserve"> Reincidência de A sobre B</t>
  </si>
  <si>
    <t>D 2</t>
  </si>
  <si>
    <t>Reincidência de A sobre Aviso Prévio Trabalhado e Reincidência do FGTS sobre Aviso Prévio Indenizado</t>
  </si>
  <si>
    <t>D</t>
  </si>
  <si>
    <t xml:space="preserve">TOTAL(A+B+C+D) </t>
  </si>
  <si>
    <t>CURVA ABC</t>
  </si>
  <si>
    <t>FAIXA</t>
  </si>
  <si>
    <t>SANTO ANTÔNIO DOS LOPES - MA, 65730-000</t>
  </si>
  <si>
    <t>ENDEREÇO:</t>
  </si>
  <si>
    <t>2.4</t>
  </si>
  <si>
    <t>2.5</t>
  </si>
  <si>
    <t>2.6</t>
  </si>
  <si>
    <t>2.7</t>
  </si>
  <si>
    <t>2.8</t>
  </si>
  <si>
    <t>2.9</t>
  </si>
  <si>
    <t>ESCAVAÇÃO MANUAL DE VALAS. AF_03/2016</t>
  </si>
  <si>
    <t>TXKM</t>
  </si>
  <si>
    <t>T</t>
  </si>
  <si>
    <t>1.5</t>
  </si>
  <si>
    <t>HORAS</t>
  </si>
  <si>
    <t>DIAS</t>
  </si>
  <si>
    <t>MESES</t>
  </si>
  <si>
    <t>VOLUME</t>
  </si>
  <si>
    <t>TXKM/PE</t>
  </si>
  <si>
    <t/>
  </si>
  <si>
    <t>72226</t>
  </si>
  <si>
    <t>ARGAMASSA TRAÇO 1:3 (EM VOLUME DE CIMENTO E AREIA MÉDIA ÚMIDA), PREPARO MANUAL. AF_08/2019</t>
  </si>
  <si>
    <t>3.4</t>
  </si>
  <si>
    <t>3.5</t>
  </si>
  <si>
    <t>180 DIAS</t>
  </si>
  <si>
    <t>210 DIAS</t>
  </si>
  <si>
    <t>240 DIAS</t>
  </si>
  <si>
    <t>270 DIAS</t>
  </si>
  <si>
    <t>300 DIAS</t>
  </si>
  <si>
    <t>330 DIAS</t>
  </si>
  <si>
    <t>360 DIAS</t>
  </si>
  <si>
    <t>EXECUÇÃO DE MANUTENÇÃO CONTÍNUA PREVENTIVA E CORRETIVA DAS VIAS VICINAIS E RURAIS</t>
  </si>
  <si>
    <t>DIVERSOS POVOADOS DO MUNICÍPIO DE SANTO ANTÔNIO DOS LOPES - MA</t>
  </si>
  <si>
    <t>DRENAGEM</t>
  </si>
  <si>
    <t>ESCAVADEIRA HIDRÁULICA SOBRE ESTEIRAS, CAÇAMBA 0,80 M3, PESO OPERACIONAL 17 T, POTENCIA BRUTA 111 HP - CHP DIURNO. AF_06/2014</t>
  </si>
  <si>
    <t>ESCAVADEIRA HIDRÁULICA SOBRE ESTEIRAS, CAÇAMBA 0,80 M3, PESO OPERACIONAL 17 T, POTENCIA BRUTA 111 HP - CHI DIURNO. AF_06/2014</t>
  </si>
  <si>
    <t>1.6</t>
  </si>
  <si>
    <t>06320/ORSE</t>
  </si>
  <si>
    <t>LASTRO DE CONCRETO, FCK=15MPA, LANÇADO E ADENSADO</t>
  </si>
  <si>
    <t>03080/ORSE</t>
  </si>
  <si>
    <t>ENROCAMENTO COM PEDRA BRUTA ARRUMADA MANUALMENTE</t>
  </si>
  <si>
    <t>PEDRA ARGAMASSADA COM CIMENTO E AREIA 1:3, 40% DE ARGAMASSA EM VOLUME - AREIA E PEDRA DE MÃO COMERCIAIS - FORNECIMENTO E ASSENTAMENTO. AF_08/2022</t>
  </si>
  <si>
    <t>DISSIPADOR DE ENERGIA EM PEDRA ARGAMASSADA ESPESSURA 6CM INCL MATERIAIS E COLOCACAO MEDIDO P/ VOLUME DE PEDRA ARGAMASSADA</t>
  </si>
  <si>
    <t>BOCA PARA BUEIRO SIMPLES TUBULAR D = 40 CM EM CONCRETO, ALAS COM ESCONSIDADE DE 0°, INCLUINDO FÔRMAS E MATERIAIS. AF_07/2021</t>
  </si>
  <si>
    <t>BOCA PARA BUEIRO SIMPLES TUBULAR D = 60 CM EM CONCRETO, ALAS COM ESCONSIDADE DE 0°, INCLUINDO FÔRMAS E MATERIAIS. AF_07/2021</t>
  </si>
  <si>
    <t>1.7</t>
  </si>
  <si>
    <t>1.8</t>
  </si>
  <si>
    <t>BOCA PARA BUEIRO SIMPLES TUBULAR D = 80 CM EM CONCRETO, ALAS COM ESCONSIDADE DE 0°, INCLUINDO FÔRMAS E MATERIAIS. AF_07/2021</t>
  </si>
  <si>
    <t>BOCA PARA BUEIRO SIMPLES TUBULAR D = 100 CM EM CONCRETO, ALAS COM ESCONSIDADE DE 0°, INCLUINDO FÔRMAS E MATERIAIS. AF_07/2021</t>
  </si>
  <si>
    <t>TERRAPLENAGEM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</si>
  <si>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</si>
  <si>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>ESCAVAÇÃO MECANIZADA DE VALA COM PROF. MAIOR QUE 1,5 M ATÉ 3,0 M (MÉDIA MONTANTE E JUSANTE/UMA COMPOSIÇÃO POR TRECHO), ESCAVADEIRA (0,8 M3), LARGURA ATÉ 1,5 M, EM SOLO DE 1A CATEGORIA, EM LOCAIS COM ALTO NÍVEL DE INTERFERÊNCIA. AF_02/2021</t>
  </si>
  <si>
    <t>ESCAVACAO MECANICA PARA ACERTO DE TALUDES, EM MATERIAL DE 1A CATEGORIA, COM ESCAVADEIRA HIDRAULICA</t>
  </si>
  <si>
    <t>ESCAVADEIRA HIDRÁULICA SOBRE ESTEIRAS, CAÇAMBA 0,80 M3, PESO OPERACIONAL 17,8 T, POTÊNCIA LÍQUIDA 110 HP - CHP DIURNO. AF_10/2014</t>
  </si>
  <si>
    <t>4016096/SICRO</t>
  </si>
  <si>
    <t>Escavação e carga de material de jazida com escavadeira hidráulica de 1,56 m³</t>
  </si>
  <si>
    <t>ESCAVAÇÃO E CARGA DE MATERIAL DE JAZIDA COM ESCAVADEIRA HIDRÁULICA DE 1,56 M³</t>
  </si>
  <si>
    <t>E9515</t>
  </si>
  <si>
    <t>Escavadeira hidráulica sobre esteiras com caçamba com capacidade de 1,56 m³ - 118 kW</t>
  </si>
  <si>
    <t>P9824</t>
  </si>
  <si>
    <t>Servente</t>
  </si>
  <si>
    <t>Custo do FIC</t>
  </si>
  <si>
    <t>und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</si>
  <si>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</si>
  <si>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COMPACTADOR DE SOLOS DE PERCUSSÃO (SOQUETE) COM MOTOR A GASOLINA 4 TEMPOS, POTÊNCIA 4 CV - CHP DIURNO. AF_08/2015</t>
  </si>
  <si>
    <t>COMPACTADOR DE SOLOS DE PERCUSSÃO (SOQUETE) COM MOTOR A GASOLINA 4 TEMPOS, POTÊNCIA 4 CV - CHI DIURNO. AF_08/2015</t>
  </si>
  <si>
    <t>UMIDIFICAÇÃO DE MATERIAL PARA VALAS COM CAMINHÃO PIPA 10000L. AF_11/2016</t>
  </si>
  <si>
    <t>REATERRO MECANIZADO DE VALA COM ESCAVADEIRA HIDRÁULICA (CAPACIDADE DA CAÇAMBA: 0,8 M³ / POTÊNCIA: 111 HP), LARGURA DE 1,5 A 2,5 M, PROFUNDIDADE ATÉ 1,5 M, COM SOLO DE 1ª CATEGORIA EM LOCAIS COM BAIXO NÍVEL DE INTERFERÊNCIA. AF_04/2016</t>
  </si>
  <si>
    <t>REGULARIZAÇÃO DE SUPERFÍCIES COM MOTONIVELADORA. AF_11/2019</t>
  </si>
  <si>
    <t>100575</t>
  </si>
  <si>
    <t>RECOMPOSIÇÃO DE REVESTIMENTO PRIMÁRIO COM MATERIAL DE JAZIDA</t>
  </si>
  <si>
    <t>MOTONIVELADORA POTÊNCIA BÁSICA LÍQUIDA (PRIMEIRA MARCHA) 125 HP, PESO BRUTO 13032 KG, LARGURA DA LÂMINA DE 3,7 M - CHP DIURNO. AF_06/2014</t>
  </si>
  <si>
    <t>MOTONIVELADORA POTÊNCIA BÁSICA LÍQUIDA (PRIMEIRA MARCHA) 125 HP, PESO BRUTO 13032 KG, LARGURA DA LÂMINA DE 3,7 M - CHI DIURNO. AF_06/2014</t>
  </si>
  <si>
    <t>4915611/SICRO</t>
  </si>
  <si>
    <t>E9605</t>
  </si>
  <si>
    <t>Caminhão tanque com capacidade de 6.000 l - 136 kW</t>
  </si>
  <si>
    <t>E9524</t>
  </si>
  <si>
    <t>Motoniveladora - 93 kW</t>
  </si>
  <si>
    <t>E9762</t>
  </si>
  <si>
    <t>Rolo compactador de pneus autopropelido de 27 t - 85 kW</t>
  </si>
  <si>
    <t>Escavação e carga de material de jazida com escavadeira hidráulica de 1,56 m³ - Caminhão basculante 6 m³</t>
  </si>
  <si>
    <t>E9571</t>
  </si>
  <si>
    <t>E9518</t>
  </si>
  <si>
    <t>E9685</t>
  </si>
  <si>
    <t>E9577</t>
  </si>
  <si>
    <t>Caminhão tanque com capacidade de 10.000 l - 188 kW</t>
  </si>
  <si>
    <t>Grade de 24 discos rebocável de D = 60 cm (24")</t>
  </si>
  <si>
    <t>Rolo compactador pé de carneiro vibratório autopropelido por pneus de 11,6 t - 82 kW</t>
  </si>
  <si>
    <t>Trator agrícola sobre pneus - 77 kW</t>
  </si>
  <si>
    <t>MANUTENÇÃO DAS PONTES</t>
  </si>
  <si>
    <t>IMUNIZAÇÃO DE MADEIRA CONTRA CUPIM, COM APLICAÇÃO DE 01 DEMÃO DE PENTOX OU SIMILAR</t>
  </si>
  <si>
    <t>02324/ORSE</t>
  </si>
  <si>
    <t>04783/SINAPI</t>
  </si>
  <si>
    <t>Pintor (horista)</t>
  </si>
  <si>
    <t>06111/SINAPI</t>
  </si>
  <si>
    <t>Servente de obras</t>
  </si>
  <si>
    <t>07340/SINAPI</t>
  </si>
  <si>
    <t>Imunizante para madeira, incolor</t>
  </si>
  <si>
    <t>10549/ORSE</t>
  </si>
  <si>
    <t>Encargos Complementares - Servente</t>
  </si>
  <si>
    <t>10553/ORSE</t>
  </si>
  <si>
    <t>Encargos Complementares - Pintor</t>
  </si>
  <si>
    <t>Encargo Social</t>
  </si>
  <si>
    <t xml:space="preserve"> PASSADIÇOS COM PRANCHAS DE MADEIRA</t>
  </si>
  <si>
    <t>I0498</t>
  </si>
  <si>
    <t>I2543</t>
  </si>
  <si>
    <t>CARPINTEIRO</t>
  </si>
  <si>
    <t>SERVENTE</t>
  </si>
  <si>
    <t>I0198</t>
  </si>
  <si>
    <t>I0405</t>
  </si>
  <si>
    <t>I2430</t>
  </si>
  <si>
    <t>PONTALETE / BARROTE DE 3"x3" - APARELHADO</t>
  </si>
  <si>
    <t>CAIBRO DE 2"x1"</t>
  </si>
  <si>
    <t>TABUA EM MADEIRA TAIPA</t>
  </si>
  <si>
    <t>CARPINTEIRO AUXILIAR (HORISTA)</t>
  </si>
  <si>
    <t>ALIMENTACAO - HORISTA (COLETADO CAIXA - ENCARGOS COMPLEMENTARES)</t>
  </si>
  <si>
    <t>TRANSPORTE - HORISTA (COLETADO CAIXA - ENCARGOS COMPLEMENTARES)</t>
  </si>
  <si>
    <t>EXAMES - HORISTA (COLETADO CAIXA - ENCARGOS COMPLEMENTARES)</t>
  </si>
  <si>
    <t>SEGURO - HORISTA (COLETADO CAIXA - ENCARGOS COMPLEMENTARES)</t>
  </si>
  <si>
    <t>FERRAMENTAS - FAMILIA CARPINTEIRO DE FORMAS - HORISTA (ENCARGOS COMPLEMENTARES - COLETADO CAIXA)</t>
  </si>
  <si>
    <t>EPI - FAMILIA CARPINTEIRO DE FORMAS - HORISTA (ENCARGOS COMPLEMENTARES - COLETADO CAIXA)</t>
  </si>
  <si>
    <t>CURSO DE CAPACITAÇÃO PARA AJUDANTE DE CARPINTEIRO (ENCARGOS COMPLEMENTARES) - HORISTA</t>
  </si>
  <si>
    <t>CONCRETO FCK = 25MPA, TRAÇO 1:2,3:2,7 (EM MASSA SECA DE CIMENTO/ AREIA MÉDIA/ BRITA 1) - PREPARO MECÂNICO COM BETONEIRA 600 L. AF_05/2021</t>
  </si>
  <si>
    <t>CARPINTEIRO DE FORMAS (HORISTA)</t>
  </si>
  <si>
    <t>CURSO DE CAPACITAÇÃO PARA CARPINTEIRO DE FÔRMAS (ENCARGOS COMPLEMENTARES) - HORISTA</t>
  </si>
  <si>
    <t>BETONEIRA CAPACIDADE NOMINAL DE 600 L, CAPACIDADE DE MISTURA 360 L, MOTOR ELÉTRICO TRIFÁSICO POTÊNCIA DE 4 CV, SEM CARREGADOR - CHP DIURNO. AF_05/2023</t>
  </si>
  <si>
    <t>BETONEIRA CAPACIDADE NOMINAL DE 600 L, CAPACIDADE DE MISTURA 360 L, MOTOR ELÉTRICO TRIFÁSICO POTÊNCIA DE 4 CV, SEM CARREGADOR - CHI DIURNO. AF_05/2023</t>
  </si>
  <si>
    <t>MATERIAIS</t>
  </si>
  <si>
    <t>ARGILA OU BARRO PARA ATERRO/REATERRO (COM TRANSPORTE ATE 10 KM)</t>
  </si>
  <si>
    <t>PEDREGULHO OU PICARRA DE JAZIDA, AO NATURAL, PARA BASE DE PAVIMENTACAO (RETIRADO NA JAZIDA, SEM TRANSPORTE)</t>
  </si>
  <si>
    <t>PEDREGULHO OU PICARRA DE JAZIDA, AO NATURAL, PARA BASE DE PAVIMENTACAO (RETIRADO NA JAZIDA, SEM TRANSPORTE)¼), COM TELA DE ARAME GALVANIZADO, FIO 14 BWG E MALHA QUADRADA 5X5CM (EXCETO MURETA). AF_03/2021</t>
  </si>
  <si>
    <t>00126/ORSE</t>
  </si>
  <si>
    <t>Concreto simples fabricado na obra, fck=15 mpa, lançado e adensado</t>
  </si>
  <si>
    <t>00054/ORSE</t>
  </si>
  <si>
    <t>Encarregado de turma - SICRO</t>
  </si>
  <si>
    <t>01715/ORSE</t>
  </si>
  <si>
    <t>Pedra de mão granítica</t>
  </si>
  <si>
    <t>PEDRA DE MAO OU PEDRA RACHAO PARA ARRIMO/FUNDACAO (POSTO PEDREIRA/FORNECEDOR, SEM FRETE)</t>
  </si>
  <si>
    <t>ARGAMASSA TRAÇO 1:6 (CIMENTO E AREIA MÉDIA) PARA CONTRAPISO, PREPARO MECÂNICO COM BETONEIRA 400 L.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</si>
  <si>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</si>
  <si>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CAMINHÃO PIPA 10.000 L TRUCADO, PESO BRUTO TOTAL 23.000 KG, CARGA ÚTIL MÁXIMA 15.935 KG, DISTÂNCIA ENTRE EIXOS 4,8 M, POTÊNCIA 230 CV, INCLUSIVE TANQUE DE AÇO PARA TRANSPORTE DE ÁGUA - CHI DIURNO. AF_06/2014</t>
  </si>
  <si>
    <t>M3XKM</t>
  </si>
  <si>
    <t>TRANSPORTE COM CAMINHÃO BASCULANTE DE 10 M³, EM VIA LEITO NATURAL (UNIDADE: M3XKM). AF_07/2020</t>
  </si>
  <si>
    <t>TRANSPORTE COM CAMINHÃO BASCULANTE DE 10 M³, EM VIA  LEITO NATURAL (UNIDADE: M3XKM). AF_07/2020</t>
  </si>
  <si>
    <t>CAMINHÃO BASCULANTE 10 M3, TRUCADO CABINE SIMPLES, PESO BRUTO TOTAL 23.000 KG, CARGA ÚTIL MÁXIMA 15.935 KG, DISTÂNCIA ENTRE EIXOS 4,80 M, POTÊNCIA 230 CV INCLUSIVE CAÇAMBA METÁLICA - CHP DIURNO. AF_06/2014</t>
  </si>
  <si>
    <t>CAMINHÃO BASCULANTE 10 M3, TRUCADO CABINE SIMPLES, PESO BRUTO TOTAL 23.000 KG, CARGA ÚTIL MÁXIMA 15.935 KG, DISTÂNCIA ENTRE EIXOS 4,80 M, POTÊNCIA 230 CV INCLUSIVE CAÇAMBA METÁLICA - CHI DIURNO. AF_06/2014</t>
  </si>
  <si>
    <t>02491/ORSE</t>
  </si>
  <si>
    <t>VALETA DE PROTEÇÃO DE CORTE SEM REVESTIMENTO - VPCT 120-30 - ESCAVAÇÃO MECÂNICA</t>
  </si>
  <si>
    <t>2003296/SICRO</t>
  </si>
  <si>
    <t>Apiloamento manual de superfície com espessura de 15 cm</t>
  </si>
  <si>
    <t>Compactação manual com soquete vibratório</t>
  </si>
  <si>
    <t>Escavação mecânica de vala trapezoidal ou triangular em material de 1ª categoria para drenagem superficial com retroescavadeira - 0,20 m² ≤ seção &lt; 0,30 m²</t>
  </si>
  <si>
    <t>m²</t>
  </si>
  <si>
    <t>m³</t>
  </si>
  <si>
    <t>COMPACTAÇÃO DE ATERROS A 100% DO PROCTOR INTERMEDIÁRIO CBR&gt;40%</t>
  </si>
  <si>
    <t>5503041/SICRO</t>
  </si>
  <si>
    <t>LIMPEZA MECANIZADA DE CAMADA VEGETAL, VEGETAÇÃO E PEQUENAS ÁRVORES (DIÂMETRO DE TRONCO MENOR QUE 0,20 M), COM TRATOR DE ESTEIRAS.AF_05/2018</t>
  </si>
  <si>
    <t>JARDINEIRO COM ENCARGOS COMPLEMENTARES</t>
  </si>
  <si>
    <t>TRATOR DE ESTEIRAS, POTÊNCIA 100 HP, PESO OPERACIONAL 9,4 T, COM LÂMINA 2,19 M3 - CHI DIURNO. AF_06/2014</t>
  </si>
  <si>
    <t>TRATOR DE ESTEIRAS, POTÊNCIA 100 HP, PESO OPERACIONAL 9,4 T, COM LÂMINA 2,19 M3 - CHP DIURNO. AF_06/2014</t>
  </si>
  <si>
    <t>0605712/SICRO</t>
  </si>
  <si>
    <t>BUEIRO METÁLICO COM CHAPAS MÚLTIPLAS MP 100 COM REVESTIMENTO EM EPÓXI - D = 2,30 M - BRITA COMERCIAL</t>
  </si>
  <si>
    <t>E9686</t>
  </si>
  <si>
    <t>P9801</t>
  </si>
  <si>
    <t>P9830</t>
  </si>
  <si>
    <t>M2668</t>
  </si>
  <si>
    <t>Caminhão carroceria com guindauto com capacidade de 20 t.m - 136 kW</t>
  </si>
  <si>
    <t>Ajudante</t>
  </si>
  <si>
    <t>Montador</t>
  </si>
  <si>
    <t>Chapa múltipla metálica corrugada revestida em epóxi tipo MP 100 ou similar - E = 2,00 mm e D = 2,30 m</t>
  </si>
  <si>
    <t>Lastro de brita comercial compactado com soquete vibratório - espalhamento manual</t>
  </si>
  <si>
    <t>Plataforma de trabalho em aço tubular apoiada no solo - altura de até 4 m - utilização de 100 vezes - fornecimento, instalação e retirada</t>
  </si>
  <si>
    <t>Chapa múltipla metálica corrugada revestida em epóxi tipo MP 100 ou similar - E = 2,00 mm e D = 2,30 m - Caminhão carroceria 15 t</t>
  </si>
  <si>
    <t>BUEIRO METÁLICO COM CHAPAS MÚLTIPLAS MP 100 COM REVESTIMENTO EM EPÓXI - D = 1,70 M - BRITA COMERCIAL</t>
  </si>
  <si>
    <t>0605706/SICRO</t>
  </si>
  <si>
    <t>Chapa múltipla metálica corrugada revestida em epóxi tipo MP 100 ou similar - E = 2,00 mm e D = 1,70 m</t>
  </si>
  <si>
    <t>BUEIRO METÁLICO COM CHAPAS MÚLTIPLAS MP 100 COM REVESTIMENTO EM EPÓXI - D = 1,10 M - BRITA COMERCIAL</t>
  </si>
  <si>
    <t>Chapa múltipla metálica corrugada revestida em epóxi tipo MP 100 ou similar - E = 2,00 mm e D = 1,10 m</t>
  </si>
  <si>
    <t>0605700/SICRO</t>
  </si>
  <si>
    <t>BUEIRO METÁLICO COM CHAPAS MÚLTIPLAS MP 100 COM REVESTIMENTO EM EPÓXI - D = 0,90 M - BRITA COMERCIAL</t>
  </si>
  <si>
    <t>0605698/SICRO</t>
  </si>
  <si>
    <t>BUEIRO METÁLICO COM CHAPAS MÚLTIPLAS MP 100 COM REVESTIMENTO EM EPÓXI - D = 0,70 M - BRITA COMERCIAL</t>
  </si>
  <si>
    <t>0605696/SICRO</t>
  </si>
  <si>
    <t>1.19</t>
  </si>
  <si>
    <t>0705271/SICRO</t>
  </si>
  <si>
    <t>CORPO DE BDCC 2,00 X 2,00 M, ALTURA DO ATERRO 0,00 A 1,00 M - AREIA E BRITA COMERCIAIS</t>
  </si>
  <si>
    <t>M0446</t>
  </si>
  <si>
    <t>Compensado resinado - E = 10 mm</t>
  </si>
  <si>
    <t>M0786</t>
  </si>
  <si>
    <t>Placa de poliestireno expandido (EPS)</t>
  </si>
  <si>
    <t>Adensamento de concreto por vibrador de imersão</t>
  </si>
  <si>
    <t>Argamassa de cimento e areia 1:3 - confecção em betoneira e lançamento manual - areia comercial</t>
  </si>
  <si>
    <t>Armação em aço CA-50 - fornecimento, preparo e colocação</t>
  </si>
  <si>
    <t>Concreto fck = 20 MPa - confecção em betoneira e lançamento manual - areia e brita comerciais</t>
  </si>
  <si>
    <t>Concreto magro - confecção em betoneira e lançamento manual - areia e brita comerciais</t>
  </si>
  <si>
    <t>Escoramento para corpo de bueiros celulares - utilização de 3 vezes - confecção, instalação e retirada</t>
  </si>
  <si>
    <t>Fôrmas de compensado resinado 14 mm - uso geral - utilização de 3 vezes - confecção, instalação e retirada</t>
  </si>
  <si>
    <t>Compensado resinado - E = 10 mm - Caminhão carroceria 15 t</t>
  </si>
  <si>
    <t>Placa de poliestireno expandido (EPS) - Caminhão carroceria 15 t</t>
  </si>
  <si>
    <t>0705322/SICRO</t>
  </si>
  <si>
    <t>BOCA DE BDCC 2,00 X 2,00 M - ESCONSIDADE 0° - AREIA E BRITA COMERCIAIS</t>
  </si>
  <si>
    <t>Fôrmas de tábuas de pinho para dispositivos de drenagem - utilização de 3 vezes - confecção, instalação e retirada</t>
  </si>
  <si>
    <t>kg</t>
  </si>
  <si>
    <t>2003453/SICRO</t>
  </si>
  <si>
    <t>DISSIPADOR DE ENERGIA - DEB 03 - AREIA, BRITA E PEDRA DE MÃO COMERCIAIS</t>
  </si>
  <si>
    <t>M1097</t>
  </si>
  <si>
    <t>Pedra de mão ou rachão</t>
  </si>
  <si>
    <t>Escavação manual em material de 1ª categoria na profundidade de até 1 m</t>
  </si>
  <si>
    <t>h</t>
  </si>
  <si>
    <t>t</t>
  </si>
  <si>
    <t>2003569/SICRO</t>
  </si>
  <si>
    <t>DRENO LONGITUDINAL PROFUNDO PARA CORTE EM SOLO - DPS 07 - TUBO DE CONCRETO PERFURADO E BRITA COMERCIAL</t>
  </si>
  <si>
    <t>E9556</t>
  </si>
  <si>
    <t>Compactador manual de placa vibratória - 3,00 kW</t>
  </si>
  <si>
    <t>P9821</t>
  </si>
  <si>
    <t>Pedreiro</t>
  </si>
  <si>
    <t>M0191</t>
  </si>
  <si>
    <t>Brita 1</t>
  </si>
  <si>
    <t>M0192</t>
  </si>
  <si>
    <t>Brita 2</t>
  </si>
  <si>
    <t>M2051</t>
  </si>
  <si>
    <t>Geotêxtil não-tecido agulhado em poliéster - resistência à tração longitudinal de 14 kN/m</t>
  </si>
  <si>
    <t>Confecção de tubos de concreto perfurado D = 0,20 m - areia e brita comerciais</t>
  </si>
  <si>
    <t>Escavação mecânica de vala em material de 1ª categoria</t>
  </si>
  <si>
    <t>Selo de argila apiloado (solo local)</t>
  </si>
  <si>
    <t>Confecção de tubos de concreto perfurado D = 0,20 m - areia e brita comerciais - Caminhão carroceria 15 t</t>
  </si>
  <si>
    <t>Brita 1 - Caminhão basculante 10 m³</t>
  </si>
  <si>
    <t>Brita 2 - Caminhão basculante 10 m³</t>
  </si>
  <si>
    <t>Geotêxtil não-tecido agulhado em poliéster - resistência à tração longitudinal de 14 kN/m - Caminhão carroceria 15 t</t>
  </si>
  <si>
    <t>m</t>
  </si>
  <si>
    <t>Rachão ou pedra de mão produzida - Caminhão basculante 10 m³</t>
  </si>
  <si>
    <t>3.6</t>
  </si>
  <si>
    <t>10738/ORSE</t>
  </si>
  <si>
    <t>BARRA ROSCADA ZINCADA Ø 5/16"</t>
  </si>
  <si>
    <t>14580/ORSE</t>
  </si>
  <si>
    <t>3.7</t>
  </si>
  <si>
    <t xml:space="preserve">PRANCHAO NAO APARELHADO *8 X 30* CM, EM MACARANDUBA, ANGELIM OU EQUIVALENTE DA REGIAO - BRUTA         </t>
  </si>
  <si>
    <t>3.8</t>
  </si>
  <si>
    <t xml:space="preserve">PARAFUSO ZINCADO, SEXTAVADO, COM ROSCA SOBERBA, DIAMETRO 3/8", COMPRIMENTO 80 MM       </t>
  </si>
  <si>
    <t>ÙND</t>
  </si>
  <si>
    <t xml:space="preserve">PARAFUSO ZINCADO, SEXTAVADO, COM ROSCA SOBERBA, DIAMETRO 3/8", COMPRIMENTO 80 MM      </t>
  </si>
  <si>
    <t>3205864/SICRO</t>
  </si>
  <si>
    <t>GABIÃO CAIXA 2 X 1 X 0,50 M - ZN/AL + PVC - D = 2,4 MM - PEDRA DE MÃO COMERCIAL - FORNECIMENTO E ASSENTAMENTO</t>
  </si>
  <si>
    <t>E9526</t>
  </si>
  <si>
    <t xml:space="preserve">Retroescavadeira de pneus - capacidade da caçamba da pá-carregadeira de 0,76 m³ e da retroescavadeira de 0,29 m³ - 58 kW </t>
  </si>
  <si>
    <t>M0232</t>
  </si>
  <si>
    <t>Gabião tipo caixa em liga de zinco e alumínio revestido com polímero de malha hexagonal - C = 2,00 m, L = 1,00 m e H = 0,50 m</t>
  </si>
  <si>
    <t>Gabião tipo caixa em liga de zinco e alumínio revestido com polímero de malha hexagonal - C = 2,00 m, L = 1,00 m e H = 0,50 m - Caminhão carroceria 15 t</t>
  </si>
  <si>
    <t>Pedra de mão ou rachão - Caminhão basculante 10 m³</t>
  </si>
  <si>
    <t>2003993/SICRO</t>
  </si>
  <si>
    <t>Tubo PEAD para drenagem - D = 1.500 mm - fornecimento e instalação</t>
  </si>
  <si>
    <t>TUBO PEAD PARA DRENAGEM - D = 1.500 MM - FORNECIMENTO E INSTALAÇÃO</t>
  </si>
  <si>
    <t>Valores em reais (R$)</t>
  </si>
  <si>
    <t>M0143</t>
  </si>
  <si>
    <t>Tubo PEAD corrugado com paredes estruturadas para drenagem - D = 1.500 mm</t>
  </si>
  <si>
    <t>Lastro de areia extraída - espalhamento manual</t>
  </si>
  <si>
    <t>4011297/SICRO</t>
  </si>
  <si>
    <t>Base de solo-cimento com 7% de cimento e mistura na pista com material de jazida</t>
  </si>
  <si>
    <t>BASE DE SOLO-CIMENTO COM 7% DE CIMENTO E MISTURA NA PISTA COM MATERIAL DE JAZIDA</t>
  </si>
  <si>
    <t>M0424</t>
  </si>
  <si>
    <t>Cimento Portland CP II - 32 - saco</t>
  </si>
  <si>
    <t>Escavação e carga de material de jazida com escavadeira hidráulica de 1,56 m³ - Caminhão basculante 10 m³</t>
  </si>
  <si>
    <t>Cimento Portland CP II - 32 - saco - Caminhão carroceria 15 t</t>
  </si>
  <si>
    <t>1513940/SICRO</t>
  </si>
  <si>
    <t>Contenção em solo-cimento ensacado com mistura de solo de jazida com 8% de cimento - confecção e assentamento</t>
  </si>
  <si>
    <t>CONTENÇÃO EM SOLO-CIMENTO ENSACADO COM MISTURA DE SOLO DE JAZIDA COM 8% DE CIMENTO - CONFECÇÃO E ASSENTAMENTO</t>
  </si>
  <si>
    <t>M0017</t>
  </si>
  <si>
    <t>Saco de aniagem ou de ráfia de 50 kg - C = 95 cm e L = 65 cm</t>
  </si>
  <si>
    <t>Saco de aniagem ou de ráfia de 50 kg - C = 95 cm e L = 65 cm - Caminhão carroceria 15 t</t>
  </si>
  <si>
    <t>2003992/SICRO</t>
  </si>
  <si>
    <t>Tubo PEAD para drenagem - D = 1.200 mm - fornecimento e instalação</t>
  </si>
  <si>
    <t>TUBO PEAD PARA DRENAGEM - D = 1.200 MM - FORNECIMENTO E INSTALAÇÃO</t>
  </si>
  <si>
    <t>M0142</t>
  </si>
  <si>
    <t>Tubo PEAD corrugado com paredes estruturadas para drenagem - D = 1.200 mm</t>
  </si>
  <si>
    <t>4413014/SICRO</t>
  </si>
  <si>
    <t>Recuperação ambiental de pedreiras ou áreas degradadas com biomanta vegetal de fibras de coco</t>
  </si>
  <si>
    <t>RECUPERAÇÃO AMBIENTAL DE PEDREIRAS OU ÁREAS DEGRADADAS COM BIOMANTA VEGETAL DE FIBRAS DE COCO</t>
  </si>
  <si>
    <t>M0115</t>
  </si>
  <si>
    <t>Biomanta vegetal de fibras de coco entrelaçadas com fios de polipropileno biodegradáveis - densidade 0,4 kg/m²</t>
  </si>
  <si>
    <t>M0020</t>
  </si>
  <si>
    <t>Grampo de ancoragem em aço CA 50 - D = 6,3 mm</t>
  </si>
  <si>
    <t>Biomanta vegetal de fibras de coco entrelaçadas com fios de polipropileno biodegradáveis - densidade 0,4 kg/m² - Caminhão carroceria 15 t</t>
  </si>
  <si>
    <t>Grampo de ancoragem em aço CA 50 - D = 6,3 mm - Caminhão carroceria 15 t</t>
  </si>
  <si>
    <t>4011347/SICRO</t>
  </si>
  <si>
    <t>Reestabilização de camada de base com adição de 3% de cimento</t>
  </si>
  <si>
    <t>REESTABILIZAÇÃO DE CAMADA DE BASE COM ADIÇÃO DE 3% DE CIMENTO</t>
  </si>
  <si>
    <t>E9027</t>
  </si>
  <si>
    <t>Caminhão distribuidor de cimento e cal com capacidade de 17 m³ - 210 kW</t>
  </si>
  <si>
    <t>E9020</t>
  </si>
  <si>
    <t>Recicladora a frio - 455 kW</t>
  </si>
  <si>
    <t>M1954</t>
  </si>
  <si>
    <t>Cimento Portland CP II - 32 - a granel</t>
  </si>
  <si>
    <t>M2147</t>
  </si>
  <si>
    <t>Dente de corte para recicladora</t>
  </si>
  <si>
    <t>M2148</t>
  </si>
  <si>
    <t>Porta-dente de corte para fresadora e recicladora a frio</t>
  </si>
  <si>
    <t>Cimento Portland CP II - 32 - a granel - Caminhão silo 30 m³</t>
  </si>
  <si>
    <t>TOTAL GERAL</t>
  </si>
  <si>
    <t>0804061/SICRO</t>
  </si>
  <si>
    <t>BOCA DE BSTC D = 0,40 M - ESCONSIDADE 0° - AREIA E BRITA COMERCIAIS - ALAS RETAS</t>
  </si>
  <si>
    <t>804081/SICRO</t>
  </si>
  <si>
    <t>BOCA DE BSTC D = 0,60 M - ESCONSIDADE 0° - AREIA E BRITA COMERCIAIS - ALAS RETAS</t>
  </si>
  <si>
    <t>804101/SICRO</t>
  </si>
  <si>
    <t>BOCA DE BSTC D = 0,80 M - ESCONSIDADE 0° - AREIA E BRITA COMERCIAIS - ALAS RETAS</t>
  </si>
  <si>
    <t>804121/SICRO</t>
  </si>
  <si>
    <t>93589</t>
  </si>
  <si>
    <t>TRANSPORTE COM CAMINHÃO BASCULANTE DE 10 M³, EM VIA URBANA EM REVESTIMENTO PRIMÁRIO (UNIDADE: M3XKM). AF_07/2020</t>
  </si>
  <si>
    <t>TRANSPORTE COM CAMINHÃO BASCULANTE DE 10 M³, EM VIA LEITO NATURAL (UNIDADE: M3XKM), DMT=10KM. AF_07/2020</t>
  </si>
  <si>
    <t>TRANSPORTE COM CAMINHÃO BASCULANTE DE 10 M³, EM VIA URBANA EM REVESTIMENTO PRIMÁRIO (UNIDADE: M3XKM), DMT=20KM. AF_07/2020</t>
  </si>
  <si>
    <t xml:space="preserve">ARGILA OU BARRO PARA ATERRO/REATERRO (RETIRADO NA JAZIDA, SEM TRANSPORTE)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</si>
  <si>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5915407/SICRO</t>
  </si>
  <si>
    <t>CARGA, MANOBRA E DESCARGA DE AGREGADOS OU SOLOS EM CAMINHÃO BASCULANTE DE 10 M³ - CARGA COM CARREGADEIRA DE 3,40 M³ E DESCARGA LIVRE</t>
  </si>
  <si>
    <t>E9579</t>
  </si>
  <si>
    <t>Caminhão basculante com capacidade de 10 m³ - 188 kW</t>
  </si>
  <si>
    <t>E9511</t>
  </si>
  <si>
    <t>Carregadeira de pneus com capacidade de 3,40 m³ - 195 kW</t>
  </si>
  <si>
    <t>2.10</t>
  </si>
  <si>
    <t>2.11</t>
  </si>
  <si>
    <t>2.12</t>
  </si>
  <si>
    <t>2.13</t>
  </si>
  <si>
    <t>2.14</t>
  </si>
  <si>
    <t>* Referência de Preços-Tabela SINAPI-MA -JUNHO 23 /  ORSE - MAIO 23 / SEINFRA - MAIO 23 / SICRO - ABRIL 23</t>
  </si>
  <si>
    <t>5.0</t>
  </si>
  <si>
    <t>SERVIÇOS COMPLEMENTARES</t>
  </si>
  <si>
    <t>5.1</t>
  </si>
  <si>
    <t>0000210/PRÓPRIA</t>
  </si>
  <si>
    <t>LEVANT. FOTOGRAMETRICO C/ VANT (DRONE) AREAS ATE 100HA, INCL. ORTOFOTOS, GSD&lt;=5, ACURACIA HORIZ. MIN. 3CM E VERT. MIN. 6CM, AFERIDOS C/ PONTOS DE CONTROLE DISTANCIA MIN. DE 650M ENTRE ELES</t>
  </si>
  <si>
    <t>5.2</t>
  </si>
  <si>
    <t>0000211/PRÓPRIA</t>
  </si>
  <si>
    <t>DESENVOLVIMENTO DE LEVANTAMENTO TRIDIMENSIONAL A LASER; PROCESSAMENTO DA NUVEM DE PONTOS; DESENVOLVIMENTO DE FOTOS IMERSIVAS E MODELAGEM 3D GEOMÉTRICO</t>
  </si>
  <si>
    <t xml:space="preserve"> B520000202 EMBASA</t>
  </si>
  <si>
    <t>TOPOGRAFO MEDIO</t>
  </si>
  <si>
    <t>MES</t>
  </si>
  <si>
    <t xml:space="preserve"> B520000208 EMBASA</t>
  </si>
  <si>
    <t>OPERADOR DE VANT (DRONE)</t>
  </si>
  <si>
    <t xml:space="preserve"> B540000062 EMBASA</t>
  </si>
  <si>
    <t>AUXILIAR DE TOPOGRAFO</t>
  </si>
  <si>
    <t xml:space="preserve"> B550000104 EMBASA</t>
  </si>
  <si>
    <t>ENGENHEIRO MEDIO (P2)</t>
  </si>
  <si>
    <t xml:space="preserve"> B550000427 EMBASA</t>
  </si>
  <si>
    <t>FOTOGRAMETRISTA</t>
  </si>
  <si>
    <t xml:space="preserve"> B570001034 EMBASA</t>
  </si>
  <si>
    <t>MOTORISTA</t>
  </si>
  <si>
    <t xml:space="preserve"> F030000268 EMBASA</t>
  </si>
  <si>
    <t>LOCAÇÃO DE VEÍCULO TIPO GOL OU SIMILAR</t>
  </si>
  <si>
    <t>DIA</t>
  </si>
  <si>
    <t xml:space="preserve"> F030000307 EMBASA</t>
  </si>
  <si>
    <t>GASOLINA</t>
  </si>
  <si>
    <t xml:space="preserve"> H019701007 EMBASA</t>
  </si>
  <si>
    <t>LOCACAO DE EQUIPAMENTO DE TOPOGRAFIA (GPS GEODESICO - RTK)</t>
  </si>
  <si>
    <t xml:space="preserve"> H019701008 EMBASA</t>
  </si>
  <si>
    <t>LOCAÇÃO DE VANT - VEÍCULO AÉREO NÃO TRIPULADO (DRONE DJI MATRICE 300 OU SIMILAR), EXCLUSO OPERADOR</t>
  </si>
  <si>
    <t xml:space="preserve"> 033964 Emp</t>
  </si>
  <si>
    <t>COMPUTADOR PROCESSADOR INTEL CORE I9, 12a GERAÇÃO, 128 GB DE MEMÓRIA RAM, WATER COOLER, SSD 3 TERABYTES</t>
  </si>
  <si>
    <t>LOCAÇÃO DE COMPUTADOR PROCESSADOR INTEL CORE I9, 12a GERAÇÃO, 128 GB DE MEMÓRIA RAM, WATER COOLER, SSD 3 TERABYTES</t>
  </si>
  <si>
    <t xml:space="preserve"> 033965 Emp</t>
  </si>
  <si>
    <t xml:space="preserve">LOCAÇÃO DE SCANNER 3D - X120 GO OU SIMILAR </t>
  </si>
  <si>
    <t>00000212/PRÓPRIA</t>
  </si>
  <si>
    <t>MAPEAMENTO GPR - GEORADAR - DESENVOLVIMENTO E PROCESSAMENTO DE DADOS - DESENHOS 2D - DESENVOLVIMENTO DE RELATÓRIO TÉCNICO</t>
  </si>
  <si>
    <t>KM</t>
  </si>
  <si>
    <t>0000212/PRÓPRIA</t>
  </si>
  <si>
    <t xml:space="preserve"> B580000123 EMBASA</t>
  </si>
  <si>
    <t xml:space="preserve"> 033966 Emp</t>
  </si>
  <si>
    <t>TC4 - PROFISSIONAL DE NÍVEL TÉCNICO  (Experiência profiss. mín.: 1 ano) (M.O EXCLUSIVA PARA CONSULTORIA, ASSESSORAMENTO E PROJETOS)</t>
  </si>
  <si>
    <t xml:space="preserve">LOCAÇÃO DE GEORADAR GPR - ALCANCE DE 10 METROS DE PROFUNDIDADE </t>
  </si>
  <si>
    <t>2003870/SICRO</t>
  </si>
  <si>
    <t>TUBO DE CONCRETO PA2 COMERCIAL PARA DRENAGEM - D = 0,50 M - FORNECIMENTO E INSTALAÇÃO</t>
  </si>
  <si>
    <t>Caminhão carroceria com guindauto com capacidade de 20 t.m - 136 Kw</t>
  </si>
  <si>
    <t>M2188</t>
  </si>
  <si>
    <t>Tubo de concreto armado PA2 - D = 0,50 m</t>
  </si>
  <si>
    <t>TUBO DE CONCRETO PA2 COMERCIAL PARA DRENAGEM - D = 0,60 M - FORNECIMENTO E INSTALAÇÃO</t>
  </si>
  <si>
    <t>2003823/SICRO</t>
  </si>
  <si>
    <t>Tubo de concreto armado PA2 - D = 0,60 m</t>
  </si>
  <si>
    <t>2003827/SICRO</t>
  </si>
  <si>
    <t>TUBO DE CONCRETO PA2 COMERCIAL PARA DRENAGEM - D = 0,80 M - FORNECIMENTO E INSTALAÇÃO</t>
  </si>
  <si>
    <t>2003831/SICRO</t>
  </si>
  <si>
    <t>TUBO DE CONCRETO PA2 COMERCIAL PARA DRENAGEM - D = 1,00 M - FORNECIMENTO E INSTALAÇÃO</t>
  </si>
  <si>
    <t>Tubo de concreto armado PA2 - D = 0,80 m</t>
  </si>
  <si>
    <t>Tubo de concreto armado PA2 - D = 1,00 m</t>
  </si>
  <si>
    <t>VALETA DE PROTEÇÃO DE CORTE  - TIPO VPCT 120-30 - ESCAVAÇÃO MECÂNICA</t>
  </si>
  <si>
    <t>ESTRADAS VICINAIS - SANTO ANTÔNIO DOS LOPES - MA</t>
  </si>
  <si>
    <t>TRECHO</t>
  </si>
  <si>
    <t>EXTENSÃO (KM)</t>
  </si>
  <si>
    <t>EXTENSÃO (M)</t>
  </si>
  <si>
    <t>JUNCO x LIVRAMENTO</t>
  </si>
  <si>
    <t>ESTRADA_LAGO VERDE</t>
  </si>
  <si>
    <t>LIBERATO</t>
  </si>
  <si>
    <t>SANTA LUZIA x CAITITU</t>
  </si>
  <si>
    <t>BAIXÃO DO LERIANO</t>
  </si>
  <si>
    <t>B. RAPOSO AO MORRO DO ANGICO_PRINCIPAL</t>
  </si>
  <si>
    <t>B. RAPOSO AO MORRO DO ANGICO_RAMAL 01</t>
  </si>
  <si>
    <t>B. RAPOSO AO MORRO DO ANGICO_RAMAL 02</t>
  </si>
  <si>
    <t>MORCEGO</t>
  </si>
  <si>
    <t>SEDE AO POV. RACHADA.</t>
  </si>
  <si>
    <t>ESTRADA_ (CENTRINHO CARIOLANDO)</t>
  </si>
  <si>
    <t>RAMAL_ (NONATO DO JOCA)</t>
  </si>
  <si>
    <t>RAMAL_ (CARLOS)</t>
  </si>
  <si>
    <t>RAMAL_ (LUIS DO JOCA)</t>
  </si>
  <si>
    <t>POV. PÉ DA SERRA AO POV.TAMARINDO</t>
  </si>
  <si>
    <t>RAMAL_ (FAZENDA DO GETULIO)</t>
  </si>
  <si>
    <t>POV. TAMARINDO / DIVISA DE CAPINZAL.</t>
  </si>
  <si>
    <t>RAMAL_ (ANDRÉ)</t>
  </si>
  <si>
    <t>POV. LAGOINHA DOS RODRIGUES AO POV. MUCAMBO.</t>
  </si>
  <si>
    <t>POV. MORADA NOVA AO POV.CRIOLI</t>
  </si>
  <si>
    <t>POV. SANTA EDWIRGES AO POV. BAIXÃO DO MESQUITA</t>
  </si>
  <si>
    <t>POV. SÃO RAIMUNDO AO POV. BAIXÃO DO MESQUITA</t>
  </si>
  <si>
    <t>POV. BAIXÃO DO MESQUITA AO POV. HUMAITÁ</t>
  </si>
  <si>
    <t>POV.HUMAITÁ AO POV. SANTANA</t>
  </si>
  <si>
    <t>POV.CREOLÍ 1 AO FORQUILHA</t>
  </si>
  <si>
    <t>POV. HUMAITÁ AO POV. RACHADA</t>
  </si>
  <si>
    <t>POV. RACHADA AO POV. OLHO D'AGUA</t>
  </si>
  <si>
    <t>BR-135 AO ZÉ DO ABRIGO</t>
  </si>
  <si>
    <t>NOVA DEMANDA - "B"</t>
  </si>
  <si>
    <t>RUA NOVA AO NOVA DEMANDA</t>
  </si>
  <si>
    <t>BR-135 / AV.PRES. CASTELO BRANCO</t>
  </si>
  <si>
    <t>ACESSO POV. ZECA DOCA</t>
  </si>
  <si>
    <t>ESTRADA DE ACESSO AO POV. CENTRO DO DOCA</t>
  </si>
  <si>
    <t>SEDE SANTO ANTONIO DOS LOPES AO POV. JUNCO</t>
  </si>
  <si>
    <t>POV. JUNCO AO POV. SANTANA</t>
  </si>
  <si>
    <t>POV. OLHO D'AGUA AO POV. JUNCO</t>
  </si>
  <si>
    <t>POV. SANTANA AO POV. LAGOA VELHA</t>
  </si>
  <si>
    <t>EST.LAGOA VELHA</t>
  </si>
  <si>
    <t>POV. LAGOA VELHA AO POV. SANTA TERESA</t>
  </si>
  <si>
    <t>FORQUILHA AO POV. LAGOA VELHA</t>
  </si>
  <si>
    <t>POV. PAU D'ARCO AO POV. CENTRO DO MUNDICO</t>
  </si>
  <si>
    <t>MA-381 AO POV. MARIBONDO</t>
  </si>
  <si>
    <t>MARIBONDO 01 AO MARIBONDO 02</t>
  </si>
  <si>
    <t>POV.MANGUEIRA AO POV.SANTA TERESA TRECHO-02</t>
  </si>
  <si>
    <t>ACESSO POV. JENIPAPO DOS FIGUEIREDOS</t>
  </si>
  <si>
    <t>POV. PACA AO CENTRO DO ADELINO</t>
  </si>
  <si>
    <t>CENTRO DO ADELINO AO CENTRO DOS RODRIGUES (PROJETO)</t>
  </si>
  <si>
    <t>ACESSO POV.MANGUEIRA</t>
  </si>
  <si>
    <t>POV. CENTRO DO SEVERÃO AO POV. BAIXÃO DOS BARBOSAS</t>
  </si>
  <si>
    <t>POV.C.SEVERÃO AO POV.MANGUEIRA</t>
  </si>
  <si>
    <t>POV. SANTA LUZIA AO POV. CENTRO DO SEVERÃO</t>
  </si>
  <si>
    <t>POV. LIVRAMENTO AO POV. LUZIA</t>
  </si>
  <si>
    <t>SEDE - SANTO ANTÔNIO DOS LOPES AO POV. LIVRAMENTO</t>
  </si>
  <si>
    <t>ESTRADA POV. ANAJÁ</t>
  </si>
  <si>
    <t>POV. ANAJÁ AO POV. LAGOA NOVA</t>
  </si>
  <si>
    <t>EST. MURISOCA A MATA VELHA</t>
  </si>
  <si>
    <t>POV. JENIPAPO AO POV. MURISOCA</t>
  </si>
  <si>
    <t>POV. LIVRAMENTO AO POV. JENIPAPO</t>
  </si>
  <si>
    <t>ACESSO A FAZENDA GAVIÃO</t>
  </si>
  <si>
    <t>POV. BAIXÃO DOS BARBOSAS AO CENTRO DOS RODRIGUES</t>
  </si>
  <si>
    <t>CENTRO DOS RODRIGUES AO POV. SERRA DO CAPIM</t>
  </si>
  <si>
    <t>POV. SERRA DO CAPIM AO POV. PILOTO I</t>
  </si>
  <si>
    <t>POV. PILOTO I AO MA-381</t>
  </si>
  <si>
    <t>ACESSO PONTE (RIO FLORES)</t>
  </si>
  <si>
    <t>ACESSO SÃO JOSÉ DOS BASILIOS</t>
  </si>
  <si>
    <t>N°</t>
  </si>
  <si>
    <t>NOTAS:</t>
  </si>
  <si>
    <t>(1)</t>
  </si>
  <si>
    <t>Retirada em jazida:</t>
  </si>
  <si>
    <t>(2)</t>
  </si>
  <si>
    <t>Regularização de superfície com motoniveladora:</t>
  </si>
  <si>
    <t>(3)</t>
  </si>
  <si>
    <t>Recomposição com revestimento primário:</t>
  </si>
  <si>
    <t>(4)</t>
  </si>
  <si>
    <t>Compactação de aterros:</t>
  </si>
  <si>
    <r>
      <t xml:space="preserve">ESCAVAÇÃO E CARGA DE MATERIAL DE JAZIDA COM ESCAVADEIRA HIDRÁULICA DE 1,56 M³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(1)</t>
    </r>
  </si>
  <si>
    <r>
      <t xml:space="preserve">REGULARIZAÇÃO DE SUPERFÍCIES COM MOTONIVELADORA. AF_11/2019  </t>
    </r>
    <r>
      <rPr>
        <b/>
        <sz val="10"/>
        <color rgb="FFFF0000"/>
        <rFont val="Arial"/>
        <family val="2"/>
      </rPr>
      <t>(2)</t>
    </r>
  </si>
  <si>
    <r>
      <t xml:space="preserve">RECOMPOSIÇÃO DE REVESTIMENTO PRIMÁRIO COM MATERIAL DE JAZIDA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(3)</t>
    </r>
  </si>
  <si>
    <r>
      <t xml:space="preserve">COMPACTAÇÃO DE ATERROS A 100% DO PROCTOR INTERMEDIÁRIO CBR&gt;40%  </t>
    </r>
    <r>
      <rPr>
        <b/>
        <sz val="10"/>
        <color rgb="FFFF0000"/>
        <rFont val="Arial"/>
        <family val="2"/>
      </rPr>
      <t>(4)</t>
    </r>
  </si>
  <si>
    <t>ENGENHEIRO CIVIL DE OBRA JUNIOR COM ENCARGOS COMPLEMENTARES</t>
  </si>
  <si>
    <t>ENCARREGADO GERAL COM ENCARGOS COMPLEMENTARES</t>
  </si>
  <si>
    <t>AUXILIAR TÉCNICO DE ENGENHARIA COM ENCARGOS COMPLEMENTARES</t>
  </si>
  <si>
    <t>98458</t>
  </si>
  <si>
    <t>TAPUME COM COMPENSADO DE MADEIRA. AF_05/2018</t>
  </si>
  <si>
    <t>12640/ORSE</t>
  </si>
  <si>
    <t>DISPOSITIVO DE DIRECIONAMENTO OU BLOQUEIO TIPO TELA PLÁSTICA COM SUPORTE FIXO - UTILIZAÇÃO DE 3 VEZES</t>
  </si>
  <si>
    <t>04657/ORSE</t>
  </si>
  <si>
    <t>LOCAÇÃO DE CONTAINER - ESCRITÓRIO COM BANHEIRO - 6,20 X 2,40M - REV 02_02/2022</t>
  </si>
  <si>
    <t>00051/ORSE</t>
  </si>
  <si>
    <t>PLACA DE OBRA EM CHAPA DE ACO GALVANIZADO, INSTALADA</t>
  </si>
  <si>
    <t>ADMINISTRAÇÃO LOCAL E CANTEIRO DE OBRA</t>
  </si>
  <si>
    <t>ENGENHEIRO CIVIL DE OBRA JUNIOR</t>
  </si>
  <si>
    <t>FERRAMENTAS - FAMILIA ENGENHEIRO CIVIL - HORISTA (ENCARGOS COMPLEMENTARES - COLETADO CAIXA)</t>
  </si>
  <si>
    <t>EPI - FAMILIA ENGENHEIRO CIVIL - HORISTA (ENCARGOS COMPLEMENTARES - COLETADO CAIXA)</t>
  </si>
  <si>
    <t>CURSO DE CAPACITAÇÃO PARA ENGENHEIRO CIVIL DE OBRA JÚNIOR (ENCARGOS COMPLEMENTARES) - HORISTA</t>
  </si>
  <si>
    <t>ENCARREGADO GERAL DE OBRAS (HORISTA)</t>
  </si>
  <si>
    <t>FERRAMENTAS - FAMILIA ENCARREGADO GERAL - HORISTA (ENCARGOS COMPLEMENTARES - COLETADO CAIXA)</t>
  </si>
  <si>
    <t>EPI - FAMILIA ENCARREGADO GERAL - HORISTA (ENCARGOS COMPLEMENTARES - COLETADO CAIXA)</t>
  </si>
  <si>
    <t>CURSO DE CAPACITAÇÃO PARA ENCARREGADO GERAL (ENCARGOS COMPLEMENTARES) - HORISTA</t>
  </si>
  <si>
    <t>AUXILIAR TECNICO / ASSISTENTE DE ENGENHARIA</t>
  </si>
  <si>
    <t>CURSO DE CAPACITAÇÃO PARA AUXILIAR TÉCNICO DE ENGENHARIA (ENCARGOS COMPLEMENTARES) - HORISTA</t>
  </si>
  <si>
    <t>VIGIA NOTURNO COM ENCARGOS COMPLEMENTARES</t>
  </si>
  <si>
    <t>VIGIA NOTURNO, HORA EFETIVAMENTE TRABALHADA DE 22 H AS 5 H (COM ADICIONAL NOTURNO)</t>
  </si>
  <si>
    <t>FERRAMENTAS - FAMILIA SERVENTE - HORISTA (ENCARGOS COMPLEMENTARES - COLETADO CAIXA)</t>
  </si>
  <si>
    <t>EPI - FAMILIA SERVENTE - HORISTA (ENCARGOS COMPLEMENTARES - COLETADO CAIXA)</t>
  </si>
  <si>
    <t>CURSO DE CAPACITAÇÃO PARA VIGIA NOTURNO (ENCARGOS COMPLEMENTARES) - HORISTA</t>
  </si>
  <si>
    <t>TABUA APARELHADA *2,5 X 30* CM, EM MACARANDUBA, ANGELIM OU EQUIVALENTE DA REGIAO</t>
  </si>
  <si>
    <t>CAIBRO NAO APARELHADO  *7,5 X 7,5* CM, EM MACARANDUBA, ANGELIM OU EQUIVALENTE DA REGIAO -  BRUTA</t>
  </si>
  <si>
    <t>PREGO DE ACO POLIDO COM CABECA 18 X 27 (2 1/2 X 10)</t>
  </si>
  <si>
    <t>CHAPA/PAINEL DE MADEIRA COMPENSADA RESINADA (MADEIRITE RESINADO ROSA) PARA FORMA DE CONCRETO, DE 2200 x 1100 MM, E = 8 A 12 MM</t>
  </si>
  <si>
    <t>SERRA CIRCULAR DE BANCADA COM MOTOR ELÉTRICO POTÊNCIA DE 5HP, COM COIFA PARA DISCO 10" - CHP DIURNO. AF_08/2015</t>
  </si>
  <si>
    <t>SERRA CIRCULAR DE BANCADA COM MOTOR ELÉTRICO POTÊNCIA DE 5HP, COM COIFA PARA DISCO 10" - CHI DIURNO. AF_08/2015</t>
  </si>
  <si>
    <t>CONCRETO MAGRO PARA LASTRO, TRAÇO 1:4,5:4,5 (EM MASSA SECA DE CIMENTO/ AREIA MÉDIA/ BRITA 1) - PREPARO MANUAL. AF_05/2021</t>
  </si>
  <si>
    <t>01887/ORSE</t>
  </si>
  <si>
    <t>Prego 18 x 30</t>
  </si>
  <si>
    <t>01213/SINAPI</t>
  </si>
  <si>
    <t>Carpinteiro de formas (horista)</t>
  </si>
  <si>
    <t>04433/SINAPI</t>
  </si>
  <si>
    <t>Caibro nao aparelhado *6 x 6* cm, em macaranduba, angelim ou equivalente da regiao - bruta</t>
  </si>
  <si>
    <t>37524/SINAPI</t>
  </si>
  <si>
    <t>Tela plastica laranja, tipo tapume para sinalizacao, malha retangular, rolo 1.20 x 50 m (l x c)</t>
  </si>
  <si>
    <t>10551/ORSE</t>
  </si>
  <si>
    <t>Encargos Complementares - Carpinteiro</t>
  </si>
  <si>
    <t>Encargos Sociais</t>
  </si>
  <si>
    <t>04298/ORSE</t>
  </si>
  <si>
    <t>Aluguel de container - Escritório com banheiro - 6,20 x 2,40m, equipado com Ar condicionado</t>
  </si>
  <si>
    <t>01569/ORSE</t>
  </si>
  <si>
    <t>Madeira mista serrada (barrote) 6 x 6cm - 0,0036 m3/m (angelim, louro)</t>
  </si>
  <si>
    <t>06995/ORSE</t>
  </si>
  <si>
    <t>Madeira mista serrada (sarrafo) 2,2 x 5,5cm - 0,00121 m³/m</t>
  </si>
  <si>
    <t>04813/SINAPI</t>
  </si>
  <si>
    <t>Placa de obra (para construcao civil) em chapa galvanizada *n. 22*, adesivada, de *2,4 x 1,2* m (sem postes para fixacao)</t>
  </si>
  <si>
    <t>05075/SINAPI</t>
  </si>
  <si>
    <t>Prego de aco polido com cabeca 18 x 30 (2 3/4 x 10)</t>
  </si>
  <si>
    <t>PLACA DE OBRA EM CHAPA AÇO GALVANIZADO, INSTALADA - REV 02_01/2022</t>
  </si>
  <si>
    <t>6.0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</si>
  <si>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</si>
  <si>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</si>
  <si>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</si>
  <si>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</si>
  <si>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</si>
  <si>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</si>
  <si>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</si>
  <si>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</si>
  <si>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</si>
  <si>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</si>
  <si>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</si>
  <si>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</si>
  <si>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</si>
  <si>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</si>
  <si>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</si>
  <si>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3.9</t>
  </si>
  <si>
    <t>3.10</t>
  </si>
  <si>
    <t>3.11</t>
  </si>
  <si>
    <t>3.12</t>
  </si>
  <si>
    <t>3.13</t>
  </si>
  <si>
    <t>3.14</t>
  </si>
  <si>
    <t>4.5</t>
  </si>
  <si>
    <t>4.6</t>
  </si>
  <si>
    <t>4.7</t>
  </si>
  <si>
    <t>4.8</t>
  </si>
  <si>
    <t>6.1</t>
  </si>
  <si>
    <t>6.2</t>
  </si>
  <si>
    <t>6.3</t>
  </si>
  <si>
    <t>chi</t>
  </si>
  <si>
    <t>chp</t>
  </si>
  <si>
    <t>Custo FIC</t>
  </si>
  <si>
    <t>Aprox. 1/2 Trecho</t>
  </si>
  <si>
    <t>Aprox. 1/3 refazimento</t>
  </si>
  <si>
    <t>0705330/SICRO</t>
  </si>
  <si>
    <t>BOCA DE BDCC 2,50 X 2,50 M - ESCONSIDADE 0° - AREIA E BRITA COMERCIAIS</t>
  </si>
  <si>
    <t>BOCA DE BDCC 1,50 X 1,50 M - ESCONSIDADE 0° - AREIA E BRITA COMERCIAIS</t>
  </si>
  <si>
    <t>0705314/SICRO</t>
  </si>
  <si>
    <t>C0426 /SEINFRA</t>
  </si>
  <si>
    <t xml:space="preserve">BOCA DE BUEIRO TRIPLO CAPEADO   (1.50 X 1.00m) </t>
  </si>
  <si>
    <t>C0057</t>
  </si>
  <si>
    <t>ALVENARIA DE PEDRA ARGAMASSADA (TRAÇO 1:4) C/AGREGADOS PRODUZIDOS (S/TRANSP)</t>
  </si>
  <si>
    <t>C1402</t>
  </si>
  <si>
    <t>FORMA PLANA CHAPA COMPENSADA RESINADA, ESP.= 10mm P/GALERIA  E BUEIROS CAPEADOS</t>
  </si>
  <si>
    <t>C0425/SEINFRA</t>
  </si>
  <si>
    <t>C0426/SEINFRA</t>
  </si>
  <si>
    <t>BOCA DE BUEIRO TRIPLO CAPEADO   (1.00 X 1.00m)</t>
  </si>
  <si>
    <t>2.30</t>
  </si>
  <si>
    <t>2.31</t>
  </si>
  <si>
    <t>2.32</t>
  </si>
  <si>
    <t>2.33</t>
  </si>
  <si>
    <t>2.34</t>
  </si>
  <si>
    <t>4.9</t>
  </si>
  <si>
    <t>C0058/SEINFRA</t>
  </si>
  <si>
    <t>C2892/SEINFRA</t>
  </si>
  <si>
    <t xml:space="preserve"> ALVENARIA DE PEDRA ARGAMASSADA (TRAÇO 1:2:8) C/ AGREGADOS ADQUIRIDOS</t>
  </si>
  <si>
    <t xml:space="preserve"> ALVENARIA DE PEDRA ARGAMASSADA (TRAÇO 1:2:8) C/ AGREGADOS ADQUIRIDOS (ALAS DAS PONTES)</t>
  </si>
  <si>
    <t>I1600 / SEINFRA</t>
  </si>
  <si>
    <t>Pedra de mao ou pedra rachao para arrimo/fundacao (posto pedreira/fornecedor, sem frete)</t>
  </si>
  <si>
    <t>I2391/ SEINFRA</t>
  </si>
  <si>
    <t>I2543 / SEINFRA</t>
  </si>
  <si>
    <t>C0205</t>
  </si>
  <si>
    <t>Argamassa cimento e areia traço t-4 (1:5) - 1 saco cimento 50kg / 5 padiolas areia dim. 0,35z0,45x0,23m - Confecção mecânica e transporte</t>
  </si>
  <si>
    <t>4.10</t>
  </si>
  <si>
    <t>00134/ORSE</t>
  </si>
  <si>
    <t>PILAR E VIGAS DE MADEIRA, SEÇÃO 10X18CM A 20X20CM, EM MASSARANDUBA, ANGELIN OU MADEIRA DE LEI</t>
  </si>
  <si>
    <t>PILAR E VIGAS DE MADEIRA, SEÇÃO 20X20CM, EM MASSARANDUBA, ANGELIN OU MADEIRA DE LEI</t>
  </si>
  <si>
    <t>03130/ORSE</t>
  </si>
  <si>
    <t>Pilar e vigas de madeira, em massaranduba ou angelin, seção 10x18cm a 20x20cm</t>
  </si>
  <si>
    <t>2.35</t>
  </si>
  <si>
    <t>2.36</t>
  </si>
  <si>
    <t>2003983/SICRO</t>
  </si>
  <si>
    <t>TUBO PEAD PARA DRENAGEM - D = 400 MM - FORNECIMENTO E INSTALAÇÃO</t>
  </si>
  <si>
    <t>2003986/SICRO</t>
  </si>
  <si>
    <t>TUBO PEAD PARA DRENAGEM - D = 600 MM - FORNECIMENTO E INSTALAÇÃO</t>
  </si>
  <si>
    <t>CLASSE</t>
  </si>
  <si>
    <t>CORTE</t>
  </si>
  <si>
    <t xml:space="preserve">PROPORÇÃO DE ITENS </t>
  </si>
  <si>
    <t>PROPORÇÃO DE VALOR</t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</si>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</sst>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??_-;_-@"/>
    <numFmt numFmtId="166" formatCode="[$-416]mmm\-yy"/>
    <numFmt numFmtId="167" formatCode="_-&quot;R$&quot;\ * #,##0.00_-;\-&quot;R$&quot;\ * #,##0.00_-;_-&quot;R$&quot;\ * &quot;-&quot;??_-;_-@"/>
    <numFmt numFmtId="168" formatCode="_(&quot;R$ &quot;* #,##0.00_);_(&quot;R$ &quot;* \(#,##0.00\);_(&quot;R$ &quot;* &quot;-&quot;??_);_(@_)"/>
    <numFmt numFmtId="169" formatCode="[$R$-416]\ #,##0.00;[Red]\-[$R$-416]\ #,##0.00"/>
    <numFmt numFmtId="170" formatCode="#,##0.00\ ;\-#,##0.00"/>
    <numFmt numFmtId="171" formatCode="0.0000000"/>
    <numFmt numFmtId="172" formatCode="0.000000"/>
    <numFmt numFmtId="173" formatCode="&quot;R$ &quot;#,##0.00"/>
    <numFmt numFmtId="174" formatCode="&quot;R$&quot;\ #,##0.00"/>
    <numFmt numFmtId="175" formatCode="_(* #,##0.00000_);_(* \(#,##0.00000\);_(* &quot;-&quot;??_);_(@_)"/>
    <numFmt numFmtId="176" formatCode="_(* #,##0.000000_);_(* \(#,##0.000000\);_(* &quot;-&quot;??_);_(@_)"/>
    <numFmt numFmtId="177" formatCode="0.000%"/>
    <numFmt numFmtId="178" formatCode="[$-416]mmm\-yy;@"/>
    <numFmt numFmtId="179" formatCode="#,##0.00000"/>
    <numFmt numFmtId="180" formatCode="00000"/>
    <numFmt numFmtId="181" formatCode="_-[$R$-416]\ * #,##0.00_-;\-[$R$-416]\ * #,##0.00_-;_-[$R$-416]\ * &quot;-&quot;??_-;_-@_-"/>
    <numFmt numFmtId="182" formatCode="_-&quot;R$&quot;\ * #,##0.000000_-;\-&quot;R$&quot;\ * #,##0.000000_-;_-&quot;R$&quot;\ * &quot;-&quot;??_-;_-@"/>
    <numFmt numFmtId="183" formatCode="0.0%"/>
  </numFmts>
  <fonts count="40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b/>
      <i/>
      <sz val="10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Verdan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</font>
    <font>
      <sz val="8"/>
      <color indexed="8"/>
      <name val="Courier"/>
      <family val="3"/>
    </font>
    <font>
      <b/>
      <sz val="12"/>
      <color rgb="FFFF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 style="thin">
        <color rgb="FFFFE2C6"/>
      </left>
      <right style="thin">
        <color rgb="FFFFE2C6"/>
      </right>
      <top style="thin">
        <color rgb="FFFFE2C6"/>
      </top>
      <bottom style="thin">
        <color rgb="FFFFE2C6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25" fillId="0" borderId="31"/>
    <xf numFmtId="0" fontId="26" fillId="0" borderId="31"/>
    <xf numFmtId="9" fontId="27" fillId="0" borderId="0" applyFont="0" applyFill="0" applyBorder="0" applyAlignment="0" applyProtection="0"/>
    <xf numFmtId="0" fontId="12" fillId="0" borderId="31"/>
    <xf numFmtId="0" fontId="12" fillId="0" borderId="31"/>
    <xf numFmtId="0" fontId="27" fillId="0" borderId="31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</cellStyleXfs>
  <cellXfs count="5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vertical="center"/>
    </xf>
    <xf numFmtId="166" fontId="6" fillId="0" borderId="9" xfId="0" applyNumberFormat="1" applyFont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 vertical="center"/>
    </xf>
    <xf numFmtId="10" fontId="6" fillId="0" borderId="15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/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7" fontId="6" fillId="3" borderId="27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167" fontId="8" fillId="0" borderId="0" xfId="0" applyNumberFormat="1" applyFont="1"/>
    <xf numFmtId="165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vertical="center"/>
    </xf>
    <xf numFmtId="0" fontId="11" fillId="0" borderId="18" xfId="0" applyFont="1" applyBorder="1" applyAlignment="1">
      <alignment horizontal="right" vertical="center"/>
    </xf>
    <xf numFmtId="164" fontId="11" fillId="0" borderId="19" xfId="0" applyNumberFormat="1" applyFont="1" applyBorder="1" applyAlignment="1">
      <alignment horizontal="right" vertical="center"/>
    </xf>
    <xf numFmtId="10" fontId="12" fillId="0" borderId="22" xfId="0" applyNumberFormat="1" applyFont="1" applyBorder="1" applyAlignment="1">
      <alignment vertical="center"/>
    </xf>
    <xf numFmtId="0" fontId="11" fillId="0" borderId="23" xfId="0" applyFont="1" applyBorder="1" applyAlignment="1">
      <alignment horizontal="right" vertical="center"/>
    </xf>
    <xf numFmtId="164" fontId="11" fillId="0" borderId="8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vertical="center"/>
    </xf>
    <xf numFmtId="166" fontId="12" fillId="0" borderId="2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10" fontId="12" fillId="0" borderId="8" xfId="0" applyNumberFormat="1" applyFont="1" applyBorder="1" applyAlignment="1">
      <alignment vertical="center"/>
    </xf>
    <xf numFmtId="166" fontId="12" fillId="0" borderId="8" xfId="0" applyNumberFormat="1" applyFont="1" applyBorder="1" applyAlignment="1">
      <alignment horizontal="right" vertical="center"/>
    </xf>
    <xf numFmtId="10" fontId="12" fillId="0" borderId="8" xfId="0" applyNumberFormat="1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165" fontId="11" fillId="2" borderId="25" xfId="0" applyNumberFormat="1" applyFont="1" applyFill="1" applyBorder="1" applyAlignment="1">
      <alignment horizontal="center" vertical="center"/>
    </xf>
    <xf numFmtId="0" fontId="16" fillId="0" borderId="0" xfId="0" applyFont="1"/>
    <xf numFmtId="0" fontId="12" fillId="0" borderId="8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vertical="center"/>
    </xf>
    <xf numFmtId="165" fontId="12" fillId="0" borderId="25" xfId="0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167" fontId="13" fillId="0" borderId="8" xfId="0" applyNumberFormat="1" applyFont="1" applyBorder="1" applyAlignment="1">
      <alignment horizontal="center" vertical="center" wrapText="1"/>
    </xf>
    <xf numFmtId="169" fontId="13" fillId="0" borderId="8" xfId="0" applyNumberFormat="1" applyFont="1" applyBorder="1" applyAlignment="1">
      <alignment horizontal="center" vertical="center" wrapText="1"/>
    </xf>
    <xf numFmtId="169" fontId="13" fillId="0" borderId="25" xfId="0" applyNumberFormat="1" applyFont="1" applyBorder="1" applyAlignment="1">
      <alignment horizontal="center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171" fontId="14" fillId="0" borderId="8" xfId="0" applyNumberFormat="1" applyFont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169" fontId="14" fillId="0" borderId="25" xfId="0" applyNumberFormat="1" applyFont="1" applyBorder="1" applyAlignment="1">
      <alignment horizontal="center" vertical="center" wrapText="1"/>
    </xf>
    <xf numFmtId="167" fontId="13" fillId="0" borderId="8" xfId="0" applyNumberFormat="1" applyFont="1" applyBorder="1" applyAlignment="1">
      <alignment horizontal="right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69" fontId="5" fillId="0" borderId="25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72" fontId="5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7" fontId="14" fillId="0" borderId="0" xfId="0" applyNumberFormat="1" applyFont="1" applyAlignment="1">
      <alignment horizontal="left" vertical="center"/>
    </xf>
    <xf numFmtId="167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1" fillId="0" borderId="15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0" xfId="0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165" fontId="11" fillId="0" borderId="15" xfId="0" applyNumberFormat="1" applyFont="1" applyBorder="1" applyAlignment="1">
      <alignment vertical="center" wrapText="1"/>
    </xf>
    <xf numFmtId="165" fontId="11" fillId="0" borderId="39" xfId="0" applyNumberFormat="1" applyFont="1" applyBorder="1" applyAlignment="1">
      <alignment vertical="center" wrapText="1"/>
    </xf>
    <xf numFmtId="10" fontId="11" fillId="0" borderId="25" xfId="0" applyNumberFormat="1" applyFont="1" applyBorder="1" applyAlignment="1">
      <alignment vertical="center"/>
    </xf>
    <xf numFmtId="166" fontId="11" fillId="0" borderId="53" xfId="0" applyNumberFormat="1" applyFont="1" applyBorder="1" applyAlignment="1">
      <alignment horizontal="right" vertical="center"/>
    </xf>
    <xf numFmtId="10" fontId="11" fillId="0" borderId="27" xfId="0" applyNumberFormat="1" applyFont="1" applyBorder="1" applyAlignment="1">
      <alignment horizontal="right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9" fontId="12" fillId="0" borderId="57" xfId="0" applyNumberFormat="1" applyFont="1" applyBorder="1"/>
    <xf numFmtId="173" fontId="12" fillId="0" borderId="58" xfId="0" applyNumberFormat="1" applyFont="1" applyBorder="1"/>
    <xf numFmtId="4" fontId="11" fillId="5" borderId="61" xfId="0" applyNumberFormat="1" applyFont="1" applyFill="1" applyBorder="1"/>
    <xf numFmtId="10" fontId="11" fillId="5" borderId="8" xfId="0" applyNumberFormat="1" applyFont="1" applyFill="1" applyBorder="1"/>
    <xf numFmtId="4" fontId="11" fillId="5" borderId="8" xfId="0" applyNumberFormat="1" applyFont="1" applyFill="1" applyBorder="1"/>
    <xf numFmtId="10" fontId="11" fillId="5" borderId="51" xfId="0" applyNumberFormat="1" applyFont="1" applyFill="1" applyBorder="1"/>
    <xf numFmtId="4" fontId="12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left"/>
    </xf>
    <xf numFmtId="10" fontId="13" fillId="0" borderId="25" xfId="0" applyNumberFormat="1" applyFont="1" applyBorder="1"/>
    <xf numFmtId="175" fontId="19" fillId="0" borderId="0" xfId="0" applyNumberFormat="1" applyFont="1"/>
    <xf numFmtId="10" fontId="14" fillId="3" borderId="25" xfId="0" applyNumberFormat="1" applyFont="1" applyFill="1" applyBorder="1"/>
    <xf numFmtId="176" fontId="20" fillId="0" borderId="0" xfId="0" applyNumberFormat="1" applyFont="1"/>
    <xf numFmtId="10" fontId="13" fillId="3" borderId="25" xfId="0" applyNumberFormat="1" applyFont="1" applyFill="1" applyBorder="1"/>
    <xf numFmtId="10" fontId="14" fillId="0" borderId="25" xfId="0" applyNumberFormat="1" applyFont="1" applyBorder="1"/>
    <xf numFmtId="176" fontId="0" fillId="0" borderId="0" xfId="0" applyNumberFormat="1"/>
    <xf numFmtId="176" fontId="19" fillId="0" borderId="0" xfId="0" applyNumberFormat="1" applyFont="1"/>
    <xf numFmtId="10" fontId="13" fillId="2" borderId="25" xfId="0" applyNumberFormat="1" applyFont="1" applyFill="1" applyBorder="1"/>
    <xf numFmtId="0" fontId="14" fillId="0" borderId="25" xfId="0" applyFont="1" applyBorder="1"/>
    <xf numFmtId="0" fontId="13" fillId="0" borderId="25" xfId="0" applyFont="1" applyBorder="1" applyAlignment="1">
      <alignment horizontal="center"/>
    </xf>
    <xf numFmtId="10" fontId="14" fillId="0" borderId="25" xfId="0" applyNumberFormat="1" applyFont="1" applyBorder="1" applyAlignment="1">
      <alignment horizontal="center"/>
    </xf>
    <xf numFmtId="10" fontId="5" fillId="0" borderId="25" xfId="0" applyNumberFormat="1" applyFont="1" applyBorder="1" applyAlignment="1">
      <alignment horizontal="center"/>
    </xf>
    <xf numFmtId="9" fontId="5" fillId="0" borderId="25" xfId="0" applyNumberFormat="1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right" vertical="center"/>
    </xf>
    <xf numFmtId="10" fontId="12" fillId="0" borderId="37" xfId="0" applyNumberFormat="1" applyFont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167" fontId="11" fillId="2" borderId="8" xfId="0" applyNumberFormat="1" applyFont="1" applyFill="1" applyBorder="1" applyAlignment="1">
      <alignment horizontal="center" vertical="center" wrapText="1"/>
    </xf>
    <xf numFmtId="167" fontId="11" fillId="2" borderId="8" xfId="0" applyNumberFormat="1" applyFont="1" applyFill="1" applyBorder="1" applyAlignment="1">
      <alignment horizontal="center" vertical="center"/>
    </xf>
    <xf numFmtId="177" fontId="11" fillId="2" borderId="8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177" fontId="12" fillId="0" borderId="8" xfId="0" applyNumberFormat="1" applyFont="1" applyBorder="1" applyAlignment="1">
      <alignment vertical="center"/>
    </xf>
    <xf numFmtId="177" fontId="12" fillId="0" borderId="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64" fontId="0" fillId="0" borderId="0" xfId="0" applyNumberFormat="1"/>
    <xf numFmtId="164" fontId="12" fillId="0" borderId="8" xfId="0" applyNumberFormat="1" applyFont="1" applyBorder="1" applyAlignment="1">
      <alignment horizontal="center" vertical="center"/>
    </xf>
    <xf numFmtId="4" fontId="0" fillId="0" borderId="0" xfId="0" applyNumberFormat="1"/>
    <xf numFmtId="49" fontId="6" fillId="6" borderId="48" xfId="0" applyNumberFormat="1" applyFont="1" applyFill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vertical="center"/>
    </xf>
    <xf numFmtId="0" fontId="9" fillId="0" borderId="31" xfId="0" applyFont="1" applyBorder="1"/>
    <xf numFmtId="177" fontId="12" fillId="0" borderId="51" xfId="0" applyNumberFormat="1" applyFont="1" applyBorder="1" applyAlignment="1">
      <alignment vertical="center"/>
    </xf>
    <xf numFmtId="177" fontId="12" fillId="0" borderId="51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77" fontId="11" fillId="0" borderId="4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178" fontId="12" fillId="0" borderId="8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vertical="center"/>
    </xf>
    <xf numFmtId="177" fontId="11" fillId="0" borderId="46" xfId="0" applyNumberFormat="1" applyFont="1" applyBorder="1" applyAlignment="1">
      <alignment vertical="center"/>
    </xf>
    <xf numFmtId="177" fontId="11" fillId="0" borderId="6" xfId="0" applyNumberFormat="1" applyFont="1" applyBorder="1" applyAlignment="1">
      <alignment vertical="center"/>
    </xf>
    <xf numFmtId="177" fontId="11" fillId="0" borderId="34" xfId="0" applyNumberFormat="1" applyFont="1" applyBorder="1" applyAlignment="1">
      <alignment vertical="center"/>
    </xf>
    <xf numFmtId="177" fontId="11" fillId="0" borderId="47" xfId="0" applyNumberFormat="1" applyFont="1" applyBorder="1" applyAlignment="1">
      <alignment vertical="center"/>
    </xf>
    <xf numFmtId="0" fontId="4" fillId="0" borderId="24" xfId="0" applyFont="1" applyBorder="1"/>
    <xf numFmtId="165" fontId="11" fillId="0" borderId="25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167" fontId="15" fillId="0" borderId="0" xfId="0" applyNumberFormat="1" applyFont="1"/>
    <xf numFmtId="0" fontId="24" fillId="0" borderId="0" xfId="0" applyFont="1"/>
    <xf numFmtId="10" fontId="12" fillId="0" borderId="61" xfId="0" applyNumberFormat="1" applyFont="1" applyBorder="1" applyAlignment="1">
      <alignment horizontal="center" vertical="center"/>
    </xf>
    <xf numFmtId="0" fontId="11" fillId="0" borderId="72" xfId="4" applyFont="1" applyBorder="1" applyAlignment="1">
      <alignment horizontal="right" vertical="center" wrapText="1"/>
    </xf>
    <xf numFmtId="0" fontId="12" fillId="0" borderId="73" xfId="4" applyBorder="1" applyAlignment="1">
      <alignment vertical="center" wrapText="1"/>
    </xf>
    <xf numFmtId="0" fontId="11" fillId="0" borderId="74" xfId="4" applyFont="1" applyBorder="1" applyAlignment="1">
      <alignment horizontal="right" vertical="center"/>
    </xf>
    <xf numFmtId="0" fontId="12" fillId="0" borderId="64" xfId="4" applyBorder="1" applyAlignment="1">
      <alignment vertical="center"/>
    </xf>
    <xf numFmtId="0" fontId="11" fillId="0" borderId="77" xfId="4" applyFont="1" applyBorder="1" applyAlignment="1">
      <alignment horizontal="right" vertical="center"/>
    </xf>
    <xf numFmtId="0" fontId="12" fillId="0" borderId="78" xfId="4" applyBorder="1" applyAlignment="1">
      <alignment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10" fontId="11" fillId="0" borderId="83" xfId="3" applyNumberFormat="1" applyFont="1" applyFill="1" applyBorder="1" applyAlignment="1">
      <alignment horizontal="center" vertical="center"/>
    </xf>
    <xf numFmtId="10" fontId="11" fillId="0" borderId="84" xfId="3" applyNumberFormat="1" applyFont="1" applyFill="1" applyBorder="1" applyAlignment="1">
      <alignment horizontal="center" vertical="center"/>
    </xf>
    <xf numFmtId="10" fontId="11" fillId="0" borderId="63" xfId="3" applyNumberFormat="1" applyFont="1" applyFill="1" applyBorder="1" applyAlignment="1">
      <alignment horizontal="center" vertical="center"/>
    </xf>
    <xf numFmtId="10" fontId="11" fillId="0" borderId="85" xfId="3" applyNumberFormat="1" applyFont="1" applyFill="1" applyBorder="1" applyAlignment="1">
      <alignment horizontal="center" vertical="center"/>
    </xf>
    <xf numFmtId="10" fontId="11" fillId="0" borderId="88" xfId="3" applyNumberFormat="1" applyFont="1" applyFill="1" applyBorder="1" applyAlignment="1">
      <alignment horizontal="center" vertical="center"/>
    </xf>
    <xf numFmtId="10" fontId="11" fillId="0" borderId="89" xfId="3" applyNumberFormat="1" applyFont="1" applyFill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0" fontId="12" fillId="0" borderId="9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4" fontId="11" fillId="0" borderId="24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7" borderId="63" xfId="6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center"/>
    </xf>
    <xf numFmtId="0" fontId="14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167" fontId="5" fillId="0" borderId="31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7" fontId="6" fillId="0" borderId="26" xfId="0" applyNumberFormat="1" applyFont="1" applyBorder="1" applyAlignment="1">
      <alignment horizontal="right" vertical="center" wrapText="1"/>
    </xf>
    <xf numFmtId="169" fontId="6" fillId="0" borderId="29" xfId="0" applyNumberFormat="1" applyFont="1" applyBorder="1" applyAlignment="1">
      <alignment horizontal="center" vertical="center" wrapText="1"/>
    </xf>
    <xf numFmtId="43" fontId="0" fillId="0" borderId="0" xfId="0" applyNumberFormat="1"/>
    <xf numFmtId="173" fontId="0" fillId="0" borderId="0" xfId="0" applyNumberFormat="1"/>
    <xf numFmtId="0" fontId="11" fillId="0" borderId="90" xfId="0" applyFont="1" applyBorder="1" applyAlignment="1">
      <alignment horizontal="right" vertical="center"/>
    </xf>
    <xf numFmtId="10" fontId="11" fillId="0" borderId="37" xfId="0" applyNumberFormat="1" applyFont="1" applyBorder="1" applyAlignment="1">
      <alignment vertical="center"/>
    </xf>
    <xf numFmtId="0" fontId="11" fillId="0" borderId="91" xfId="0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11" fillId="0" borderId="13" xfId="0" applyNumberFormat="1" applyFont="1" applyBorder="1" applyAlignment="1">
      <alignment horizontal="right" vertical="center"/>
    </xf>
    <xf numFmtId="10" fontId="12" fillId="0" borderId="0" xfId="0" applyNumberFormat="1" applyFont="1"/>
    <xf numFmtId="9" fontId="12" fillId="0" borderId="0" xfId="0" applyNumberFormat="1" applyFont="1"/>
    <xf numFmtId="0" fontId="14" fillId="0" borderId="48" xfId="0" applyFont="1" applyBorder="1" applyAlignment="1">
      <alignment horizontal="left" vertical="center"/>
    </xf>
    <xf numFmtId="1" fontId="13" fillId="2" borderId="8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71" fontId="5" fillId="0" borderId="8" xfId="0" applyNumberFormat="1" applyFont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179" fontId="34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4" fillId="0" borderId="24" xfId="0" applyFont="1" applyBorder="1" applyAlignment="1">
      <alignment horizontal="left" vertical="center" wrapText="1"/>
    </xf>
    <xf numFmtId="171" fontId="14" fillId="0" borderId="24" xfId="0" applyNumberFormat="1" applyFont="1" applyBorder="1" applyAlignment="1">
      <alignment horizontal="center" vertical="center"/>
    </xf>
    <xf numFmtId="167" fontId="14" fillId="0" borderId="24" xfId="0" applyNumberFormat="1" applyFont="1" applyBorder="1" applyAlignment="1">
      <alignment horizontal="center" vertical="center" wrapText="1"/>
    </xf>
    <xf numFmtId="10" fontId="14" fillId="0" borderId="7" xfId="0" applyNumberFormat="1" applyFont="1" applyBorder="1" applyAlignment="1">
      <alignment horizontal="center" vertical="center" wrapText="1"/>
    </xf>
    <xf numFmtId="0" fontId="35" fillId="4" borderId="92" xfId="0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67" fontId="6" fillId="0" borderId="24" xfId="0" applyNumberFormat="1" applyFont="1" applyBorder="1" applyAlignment="1">
      <alignment horizontal="right" vertical="center" wrapText="1"/>
    </xf>
    <xf numFmtId="169" fontId="6" fillId="0" borderId="49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vertical="center"/>
    </xf>
    <xf numFmtId="181" fontId="0" fillId="0" borderId="0" xfId="0" applyNumberFormat="1"/>
    <xf numFmtId="180" fontId="5" fillId="0" borderId="8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7" fontId="14" fillId="0" borderId="8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9" fillId="0" borderId="0" xfId="0" applyNumberFormat="1" applyFont="1"/>
    <xf numFmtId="0" fontId="21" fillId="8" borderId="76" xfId="0" applyFont="1" applyFill="1" applyBorder="1" applyAlignment="1">
      <alignment horizontal="center" vertical="center" wrapText="1"/>
    </xf>
    <xf numFmtId="4" fontId="21" fillId="8" borderId="76" xfId="0" applyNumberFormat="1" applyFont="1" applyFill="1" applyBorder="1" applyAlignment="1">
      <alignment horizontal="center" vertical="center" wrapText="1"/>
    </xf>
    <xf numFmtId="0" fontId="21" fillId="6" borderId="96" xfId="0" applyFont="1" applyFill="1" applyBorder="1" applyAlignment="1">
      <alignment horizontal="center" vertical="center" wrapText="1"/>
    </xf>
    <xf numFmtId="0" fontId="21" fillId="6" borderId="76" xfId="0" applyFont="1" applyFill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vertical="center" wrapText="1"/>
    </xf>
    <xf numFmtId="4" fontId="33" fillId="0" borderId="99" xfId="0" applyNumberFormat="1" applyFont="1" applyBorder="1" applyAlignment="1">
      <alignment vertical="center" wrapText="1"/>
    </xf>
    <xf numFmtId="0" fontId="33" fillId="0" borderId="100" xfId="0" applyFont="1" applyBorder="1" applyAlignment="1">
      <alignment horizontal="center" vertical="center" wrapText="1"/>
    </xf>
    <xf numFmtId="0" fontId="33" fillId="0" borderId="63" xfId="0" applyFont="1" applyBorder="1" applyAlignment="1">
      <alignment vertical="center" wrapText="1"/>
    </xf>
    <xf numFmtId="4" fontId="33" fillId="0" borderId="85" xfId="0" applyNumberFormat="1" applyFont="1" applyBorder="1" applyAlignment="1">
      <alignment vertical="center" wrapText="1"/>
    </xf>
    <xf numFmtId="0" fontId="33" fillId="0" borderId="85" xfId="0" applyFont="1" applyBorder="1" applyAlignment="1">
      <alignment vertical="center" wrapText="1"/>
    </xf>
    <xf numFmtId="0" fontId="33" fillId="0" borderId="101" xfId="0" applyFont="1" applyBorder="1" applyAlignment="1">
      <alignment horizontal="center" vertical="center" wrapText="1"/>
    </xf>
    <xf numFmtId="0" fontId="33" fillId="0" borderId="88" xfId="0" applyFont="1" applyBorder="1" applyAlignment="1">
      <alignment vertical="center" wrapText="1"/>
    </xf>
    <xf numFmtId="4" fontId="33" fillId="0" borderId="89" xfId="0" applyNumberFormat="1" applyFont="1" applyBorder="1" applyAlignment="1">
      <alignment vertical="center" wrapText="1"/>
    </xf>
    <xf numFmtId="0" fontId="36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 vertical="center"/>
    </xf>
    <xf numFmtId="0" fontId="27" fillId="0" borderId="0" xfId="0" applyFont="1"/>
    <xf numFmtId="0" fontId="21" fillId="0" borderId="0" xfId="0" applyFont="1"/>
    <xf numFmtId="0" fontId="33" fillId="0" borderId="0" xfId="0" applyFont="1"/>
    <xf numFmtId="49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4" fontId="33" fillId="0" borderId="0" xfId="0" applyNumberFormat="1" applyFont="1"/>
    <xf numFmtId="4" fontId="33" fillId="0" borderId="0" xfId="0" applyNumberFormat="1" applyFont="1" applyAlignment="1">
      <alignment horizontal="center"/>
    </xf>
    <xf numFmtId="4" fontId="21" fillId="0" borderId="0" xfId="0" applyNumberFormat="1" applyFont="1"/>
    <xf numFmtId="4" fontId="33" fillId="0" borderId="63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wrapText="1"/>
    </xf>
    <xf numFmtId="0" fontId="21" fillId="0" borderId="63" xfId="0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167" fontId="13" fillId="0" borderId="24" xfId="0" applyNumberFormat="1" applyFont="1" applyBorder="1" applyAlignment="1">
      <alignment horizontal="right" vertical="center" wrapText="1"/>
    </xf>
    <xf numFmtId="169" fontId="13" fillId="0" borderId="24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/>
    <xf numFmtId="0" fontId="5" fillId="6" borderId="8" xfId="0" applyFont="1" applyFill="1" applyBorder="1" applyAlignment="1">
      <alignment horizontal="center" vertical="center" wrapText="1"/>
    </xf>
    <xf numFmtId="43" fontId="16" fillId="0" borderId="0" xfId="0" applyNumberFormat="1" applyFont="1"/>
    <xf numFmtId="44" fontId="5" fillId="0" borderId="0" xfId="0" applyNumberFormat="1" applyFont="1" applyAlignment="1">
      <alignment vertical="center"/>
    </xf>
    <xf numFmtId="10" fontId="5" fillId="0" borderId="0" xfId="0" applyNumberFormat="1" applyFont="1"/>
    <xf numFmtId="0" fontId="14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4" fillId="0" borderId="7" xfId="0" applyFont="1" applyBorder="1"/>
    <xf numFmtId="0" fontId="4" fillId="0" borderId="24" xfId="0" applyFont="1" applyBorder="1"/>
    <xf numFmtId="0" fontId="4" fillId="0" borderId="5" xfId="0" applyFont="1" applyBorder="1"/>
    <xf numFmtId="0" fontId="4" fillId="0" borderId="40" xfId="0" applyFont="1" applyBorder="1"/>
    <xf numFmtId="0" fontId="4" fillId="0" borderId="35" xfId="0" applyFont="1" applyBorder="1"/>
    <xf numFmtId="0" fontId="4" fillId="0" borderId="33" xfId="0" applyFont="1" applyBorder="1"/>
    <xf numFmtId="0" fontId="4" fillId="0" borderId="32" xfId="0" applyFont="1" applyBorder="1"/>
    <xf numFmtId="0" fontId="4" fillId="0" borderId="31" xfId="0" applyFont="1" applyBorder="1"/>
    <xf numFmtId="167" fontId="6" fillId="0" borderId="37" xfId="0" applyNumberFormat="1" applyFont="1" applyBorder="1" applyAlignment="1">
      <alignment horizontal="center" vertical="center"/>
    </xf>
    <xf numFmtId="167" fontId="5" fillId="0" borderId="25" xfId="0" applyNumberFormat="1" applyFont="1" applyBorder="1" applyAlignment="1">
      <alignment vertical="center"/>
    </xf>
    <xf numFmtId="167" fontId="6" fillId="0" borderId="25" xfId="0" applyNumberFormat="1" applyFont="1" applyBorder="1" applyAlignment="1">
      <alignment horizontal="center" vertical="center"/>
    </xf>
    <xf numFmtId="167" fontId="6" fillId="0" borderId="25" xfId="0" applyNumberFormat="1" applyFont="1" applyBorder="1" applyAlignment="1">
      <alignment vertical="center"/>
    </xf>
    <xf numFmtId="167" fontId="5" fillId="0" borderId="53" xfId="0" applyNumberFormat="1" applyFont="1" applyBorder="1" applyAlignment="1">
      <alignment vertical="center"/>
    </xf>
    <xf numFmtId="182" fontId="0" fillId="0" borderId="0" xfId="0" applyNumberFormat="1"/>
    <xf numFmtId="175" fontId="39" fillId="0" borderId="0" xfId="0" applyNumberFormat="1" applyFont="1" applyAlignment="1">
      <alignment vertical="center"/>
    </xf>
    <xf numFmtId="9" fontId="27" fillId="0" borderId="63" xfId="3" applyFont="1" applyBorder="1" applyAlignment="1">
      <alignment horizontal="center" vertical="center"/>
    </xf>
    <xf numFmtId="10" fontId="27" fillId="0" borderId="63" xfId="3" applyNumberFormat="1" applyFont="1" applyBorder="1" applyAlignment="1">
      <alignment horizontal="center" vertical="center"/>
    </xf>
    <xf numFmtId="9" fontId="27" fillId="0" borderId="102" xfId="3" applyFont="1" applyBorder="1" applyAlignment="1">
      <alignment horizontal="center" vertical="center"/>
    </xf>
    <xf numFmtId="10" fontId="27" fillId="0" borderId="102" xfId="3" applyNumberFormat="1" applyFont="1" applyBorder="1" applyAlignment="1">
      <alignment horizontal="center" vertical="center"/>
    </xf>
    <xf numFmtId="0" fontId="2" fillId="9" borderId="103" xfId="0" applyFont="1" applyFill="1" applyBorder="1" applyAlignment="1">
      <alignment horizontal="center" vertical="center"/>
    </xf>
    <xf numFmtId="0" fontId="2" fillId="9" borderId="104" xfId="0" applyFont="1" applyFill="1" applyBorder="1" applyAlignment="1">
      <alignment horizontal="center" vertical="center"/>
    </xf>
    <xf numFmtId="0" fontId="2" fillId="9" borderId="104" xfId="0" applyFont="1" applyFill="1" applyBorder="1" applyAlignment="1">
      <alignment horizontal="center" vertical="center" wrapText="1"/>
    </xf>
    <xf numFmtId="0" fontId="2" fillId="9" borderId="105" xfId="0" applyFont="1" applyFill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10" fontId="27" fillId="0" borderId="107" xfId="3" applyNumberFormat="1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10" fontId="27" fillId="0" borderId="85" xfId="3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9" fontId="27" fillId="0" borderId="88" xfId="3" applyFont="1" applyBorder="1" applyAlignment="1">
      <alignment horizontal="center" vertical="center"/>
    </xf>
    <xf numFmtId="183" fontId="27" fillId="0" borderId="88" xfId="3" applyNumberFormat="1" applyFont="1" applyBorder="1" applyAlignment="1">
      <alignment horizontal="center" vertical="center"/>
    </xf>
    <xf numFmtId="10" fontId="27" fillId="0" borderId="89" xfId="3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43" fontId="12" fillId="0" borderId="8" xfId="7" applyFont="1" applyBorder="1" applyAlignment="1">
      <alignment horizontal="center" vertical="center"/>
    </xf>
    <xf numFmtId="44" fontId="12" fillId="0" borderId="8" xfId="8" applyFont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3" fontId="12" fillId="0" borderId="51" xfId="7" applyFont="1" applyBorder="1" applyAlignment="1">
      <alignment horizontal="center" vertical="center"/>
    </xf>
    <xf numFmtId="44" fontId="12" fillId="0" borderId="51" xfId="8" applyFont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7" fontId="11" fillId="0" borderId="8" xfId="0" applyNumberFormat="1" applyFont="1" applyFill="1" applyBorder="1" applyAlignment="1">
      <alignment horizontal="center" vertical="center" wrapText="1"/>
    </xf>
    <xf numFmtId="167" fontId="11" fillId="0" borderId="8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24" xfId="0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165" fontId="5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6" fillId="2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7" fillId="0" borderId="16" xfId="0" applyFont="1" applyBorder="1" applyAlignment="1">
      <alignment horizontal="center" vertical="center"/>
    </xf>
    <xf numFmtId="0" fontId="4" fillId="0" borderId="55" xfId="0" applyFont="1" applyBorder="1"/>
    <xf numFmtId="0" fontId="4" fillId="0" borderId="17" xfId="0" applyFont="1" applyBorder="1"/>
    <xf numFmtId="0" fontId="7" fillId="0" borderId="4" xfId="0" applyFont="1" applyBorder="1" applyAlignment="1">
      <alignment horizontal="center" vertical="center"/>
    </xf>
    <xf numFmtId="0" fontId="4" fillId="0" borderId="4" xfId="0" applyFont="1" applyBorder="1"/>
    <xf numFmtId="0" fontId="0" fillId="0" borderId="31" xfId="0" applyBorder="1"/>
    <xf numFmtId="0" fontId="6" fillId="0" borderId="9" xfId="0" applyFont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4" fillId="0" borderId="26" xfId="0" applyFont="1" applyBorder="1"/>
    <xf numFmtId="0" fontId="6" fillId="0" borderId="24" xfId="0" applyFont="1" applyBorder="1" applyAlignment="1">
      <alignment horizontal="left" vertical="center" wrapText="1"/>
    </xf>
    <xf numFmtId="10" fontId="14" fillId="4" borderId="41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168" fontId="6" fillId="4" borderId="14" xfId="0" applyNumberFormat="1" applyFont="1" applyFill="1" applyBorder="1" applyAlignment="1">
      <alignment horizontal="center" vertical="center"/>
    </xf>
    <xf numFmtId="0" fontId="4" fillId="0" borderId="61" xfId="0" applyFont="1" applyBorder="1"/>
    <xf numFmtId="0" fontId="13" fillId="3" borderId="36" xfId="0" applyFont="1" applyFill="1" applyBorder="1" applyAlignment="1">
      <alignment horizontal="center" vertical="center" wrapText="1"/>
    </xf>
    <xf numFmtId="0" fontId="4" fillId="0" borderId="36" xfId="0" applyFont="1" applyBorder="1"/>
    <xf numFmtId="0" fontId="13" fillId="4" borderId="38" xfId="0" applyFont="1" applyFill="1" applyBorder="1" applyAlignment="1">
      <alignment horizontal="center" vertical="center"/>
    </xf>
    <xf numFmtId="0" fontId="4" fillId="0" borderId="40" xfId="0" applyFont="1" applyBorder="1"/>
    <xf numFmtId="0" fontId="4" fillId="0" borderId="39" xfId="0" applyFont="1" applyBorder="1"/>
    <xf numFmtId="0" fontId="4" fillId="0" borderId="28" xfId="0" applyFont="1" applyBorder="1"/>
    <xf numFmtId="0" fontId="4" fillId="0" borderId="42" xfId="0" applyFont="1" applyBorder="1"/>
    <xf numFmtId="167" fontId="13" fillId="4" borderId="15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43" xfId="0" applyFont="1" applyBorder="1"/>
    <xf numFmtId="49" fontId="13" fillId="4" borderId="38" xfId="0" applyNumberFormat="1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33" xfId="0" applyFont="1" applyBorder="1"/>
    <xf numFmtId="0" fontId="14" fillId="4" borderId="15" xfId="0" applyFont="1" applyFill="1" applyBorder="1" applyAlignment="1">
      <alignment vertical="center"/>
    </xf>
    <xf numFmtId="0" fontId="4" fillId="0" borderId="34" xfId="0" applyFont="1" applyBorder="1"/>
    <xf numFmtId="0" fontId="4" fillId="0" borderId="35" xfId="0" applyFont="1" applyBorder="1"/>
    <xf numFmtId="0" fontId="13" fillId="4" borderId="39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 wrapText="1"/>
    </xf>
    <xf numFmtId="0" fontId="4" fillId="0" borderId="37" xfId="0" applyFont="1" applyBorder="1"/>
    <xf numFmtId="164" fontId="6" fillId="0" borderId="2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4" fillId="0" borderId="29" xfId="0" applyFont="1" applyBorder="1"/>
    <xf numFmtId="0" fontId="13" fillId="3" borderId="2" xfId="0" applyFont="1" applyFill="1" applyBorder="1" applyAlignment="1">
      <alignment horizontal="center" vertical="center"/>
    </xf>
    <xf numFmtId="0" fontId="4" fillId="0" borderId="30" xfId="0" applyFont="1" applyBorder="1"/>
    <xf numFmtId="0" fontId="13" fillId="3" borderId="46" xfId="0" applyFont="1" applyFill="1" applyBorder="1" applyAlignment="1">
      <alignment horizontal="center" vertical="center"/>
    </xf>
    <xf numFmtId="0" fontId="4" fillId="0" borderId="31" xfId="0" applyFont="1" applyBorder="1"/>
    <xf numFmtId="0" fontId="4" fillId="0" borderId="45" xfId="0" applyFont="1" applyBorder="1"/>
    <xf numFmtId="0" fontId="12" fillId="0" borderId="4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" fontId="33" fillId="0" borderId="63" xfId="0" applyNumberFormat="1" applyFont="1" applyBorder="1" applyAlignment="1">
      <alignment horizontal="center"/>
    </xf>
    <xf numFmtId="0" fontId="21" fillId="0" borderId="64" xfId="0" applyFont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49" xfId="0" applyFont="1" applyBorder="1"/>
    <xf numFmtId="4" fontId="33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6" fillId="0" borderId="38" xfId="0" applyFont="1" applyBorder="1" applyAlignment="1">
      <alignment horizontal="center" vertical="center"/>
    </xf>
    <xf numFmtId="165" fontId="11" fillId="0" borderId="44" xfId="0" applyNumberFormat="1" applyFont="1" applyBorder="1" applyAlignment="1">
      <alignment horizontal="center" vertical="center"/>
    </xf>
    <xf numFmtId="0" fontId="4" fillId="0" borderId="46" xfId="0" applyFont="1" applyBorder="1"/>
    <xf numFmtId="0" fontId="11" fillId="2" borderId="4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0" xfId="0"/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30" fillId="0" borderId="7" xfId="0" applyFont="1" applyBorder="1"/>
    <xf numFmtId="167" fontId="14" fillId="0" borderId="48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70" fontId="13" fillId="2" borderId="9" xfId="0" applyNumberFormat="1" applyFont="1" applyFill="1" applyBorder="1" applyAlignment="1">
      <alignment horizontal="left" vertical="center" wrapText="1"/>
    </xf>
    <xf numFmtId="167" fontId="5" fillId="0" borderId="48" xfId="0" applyNumberFormat="1" applyFont="1" applyBorder="1" applyAlignment="1">
      <alignment horizontal="center" vertical="center"/>
    </xf>
    <xf numFmtId="167" fontId="5" fillId="0" borderId="24" xfId="0" applyNumberFormat="1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/>
    </xf>
    <xf numFmtId="1" fontId="13" fillId="2" borderId="9" xfId="0" applyNumberFormat="1" applyFont="1" applyFill="1" applyBorder="1" applyAlignment="1">
      <alignment horizontal="left" vertical="center" wrapText="1"/>
    </xf>
    <xf numFmtId="1" fontId="13" fillId="2" borderId="24" xfId="0" applyNumberFormat="1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170" fontId="13" fillId="2" borderId="24" xfId="0" applyNumberFormat="1" applyFont="1" applyFill="1" applyBorder="1" applyAlignment="1">
      <alignment horizontal="left" vertical="center" wrapText="1"/>
    </xf>
    <xf numFmtId="170" fontId="13" fillId="2" borderId="49" xfId="0" applyNumberFormat="1" applyFont="1" applyFill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/>
    </xf>
    <xf numFmtId="1" fontId="13" fillId="2" borderId="7" xfId="0" applyNumberFormat="1" applyFont="1" applyFill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5" fontId="6" fillId="0" borderId="44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/>
    </xf>
    <xf numFmtId="49" fontId="5" fillId="0" borderId="48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170" fontId="6" fillId="2" borderId="9" xfId="0" applyNumberFormat="1" applyFont="1" applyFill="1" applyBorder="1" applyAlignment="1">
      <alignment horizontal="left" vertical="center" wrapText="1"/>
    </xf>
    <xf numFmtId="170" fontId="6" fillId="2" borderId="24" xfId="0" applyNumberFormat="1" applyFont="1" applyFill="1" applyBorder="1" applyAlignment="1">
      <alignment horizontal="left" vertical="center" wrapText="1"/>
    </xf>
    <xf numFmtId="170" fontId="6" fillId="2" borderId="49" xfId="0" applyNumberFormat="1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67" fontId="14" fillId="0" borderId="48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left" vertical="center" wrapText="1"/>
    </xf>
    <xf numFmtId="164" fontId="11" fillId="0" borderId="3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4" fontId="11" fillId="0" borderId="5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164" fontId="11" fillId="0" borderId="26" xfId="0" applyNumberFormat="1" applyFont="1" applyBorder="1" applyAlignment="1">
      <alignment horizontal="right" vertical="center"/>
    </xf>
    <xf numFmtId="0" fontId="18" fillId="5" borderId="48" xfId="0" applyFont="1" applyFill="1" applyBorder="1" applyAlignment="1">
      <alignment horizontal="center"/>
    </xf>
    <xf numFmtId="174" fontId="11" fillId="2" borderId="53" xfId="0" applyNumberFormat="1" applyFont="1" applyFill="1" applyBorder="1" applyAlignment="1">
      <alignment horizontal="center" vertical="center"/>
    </xf>
    <xf numFmtId="0" fontId="4" fillId="0" borderId="59" xfId="0" applyFont="1" applyBorder="1"/>
    <xf numFmtId="0" fontId="18" fillId="5" borderId="12" xfId="0" applyFont="1" applyFill="1" applyBorder="1" applyAlignment="1">
      <alignment horizontal="center"/>
    </xf>
    <xf numFmtId="0" fontId="18" fillId="5" borderId="60" xfId="0" applyFont="1" applyFill="1" applyBorder="1" applyAlignment="1">
      <alignment horizontal="center"/>
    </xf>
    <xf numFmtId="0" fontId="4" fillId="0" borderId="52" xfId="0" applyFont="1" applyBorder="1"/>
    <xf numFmtId="0" fontId="14" fillId="0" borderId="4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5" fillId="0" borderId="48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center" vertical="center"/>
    </xf>
    <xf numFmtId="0" fontId="13" fillId="2" borderId="4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0" borderId="48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49" fontId="11" fillId="0" borderId="82" xfId="0" applyNumberFormat="1" applyFont="1" applyBorder="1" applyAlignment="1">
      <alignment horizontal="center" vertical="center"/>
    </xf>
    <xf numFmtId="49" fontId="11" fillId="0" borderId="74" xfId="0" applyNumberFormat="1" applyFont="1" applyBorder="1" applyAlignment="1">
      <alignment horizontal="center" vertical="center"/>
    </xf>
    <xf numFmtId="0" fontId="12" fillId="0" borderId="64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67" xfId="4" applyFont="1" applyBorder="1" applyAlignment="1">
      <alignment horizontal="center" vertical="center"/>
    </xf>
    <xf numFmtId="0" fontId="11" fillId="0" borderId="68" xfId="4" applyFont="1" applyBorder="1" applyAlignment="1">
      <alignment horizontal="center" vertical="center"/>
    </xf>
    <xf numFmtId="0" fontId="11" fillId="0" borderId="70" xfId="4" applyFont="1" applyBorder="1" applyAlignment="1">
      <alignment horizontal="center" vertical="center"/>
    </xf>
    <xf numFmtId="0" fontId="11" fillId="0" borderId="71" xfId="4" applyFont="1" applyBorder="1" applyAlignment="1">
      <alignment horizontal="center" vertical="center"/>
    </xf>
    <xf numFmtId="0" fontId="11" fillId="0" borderId="75" xfId="4" applyFont="1" applyBorder="1" applyAlignment="1">
      <alignment horizontal="center" vertical="center"/>
    </xf>
    <xf numFmtId="0" fontId="11" fillId="0" borderId="76" xfId="4" applyFont="1" applyBorder="1" applyAlignment="1">
      <alignment horizontal="center" vertical="center"/>
    </xf>
    <xf numFmtId="0" fontId="6" fillId="0" borderId="69" xfId="5" applyFont="1" applyBorder="1" applyAlignment="1">
      <alignment horizontal="center" vertical="center"/>
    </xf>
    <xf numFmtId="0" fontId="6" fillId="0" borderId="31" xfId="5" applyFont="1" applyAlignment="1">
      <alignment horizontal="center" vertical="center"/>
    </xf>
    <xf numFmtId="0" fontId="12" fillId="0" borderId="67" xfId="5" applyBorder="1" applyAlignment="1">
      <alignment horizontal="center"/>
    </xf>
    <xf numFmtId="0" fontId="12" fillId="0" borderId="68" xfId="5" applyBorder="1" applyAlignment="1">
      <alignment horizontal="center"/>
    </xf>
    <xf numFmtId="0" fontId="12" fillId="0" borderId="70" xfId="5" applyBorder="1" applyAlignment="1">
      <alignment horizontal="center"/>
    </xf>
    <xf numFmtId="0" fontId="12" fillId="0" borderId="71" xfId="5" applyBorder="1" applyAlignment="1">
      <alignment horizontal="center"/>
    </xf>
    <xf numFmtId="0" fontId="12" fillId="0" borderId="75" xfId="5" applyBorder="1" applyAlignment="1">
      <alignment horizontal="center"/>
    </xf>
    <xf numFmtId="0" fontId="12" fillId="0" borderId="76" xfId="5" applyBorder="1" applyAlignment="1">
      <alignment horizontal="center"/>
    </xf>
    <xf numFmtId="0" fontId="21" fillId="0" borderId="70" xfId="5" applyFont="1" applyBorder="1" applyAlignment="1">
      <alignment horizontal="center" vertical="center" wrapText="1"/>
    </xf>
    <xf numFmtId="0" fontId="21" fillId="0" borderId="31" xfId="5" applyFont="1" applyAlignment="1">
      <alignment horizontal="center" vertical="center" wrapText="1"/>
    </xf>
    <xf numFmtId="0" fontId="21" fillId="0" borderId="71" xfId="5" applyFont="1" applyBorder="1" applyAlignment="1">
      <alignment horizontal="center" vertical="center" wrapText="1"/>
    </xf>
    <xf numFmtId="0" fontId="21" fillId="0" borderId="79" xfId="5" applyFont="1" applyBorder="1" applyAlignment="1">
      <alignment horizontal="center" vertical="center" wrapText="1"/>
    </xf>
    <xf numFmtId="0" fontId="21" fillId="0" borderId="80" xfId="5" applyFont="1" applyBorder="1" applyAlignment="1">
      <alignment horizontal="center" vertical="center" wrapText="1"/>
    </xf>
    <xf numFmtId="0" fontId="21" fillId="0" borderId="81" xfId="5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0" fontId="12" fillId="0" borderId="36" xfId="0" applyNumberFormat="1" applyFont="1" applyBorder="1" applyAlignment="1">
      <alignment horizontal="center" vertical="center"/>
    </xf>
    <xf numFmtId="10" fontId="12" fillId="0" borderId="6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1" fillId="6" borderId="93" xfId="0" applyFont="1" applyFill="1" applyBorder="1" applyAlignment="1">
      <alignment horizontal="center" vertical="center" wrapText="1"/>
    </xf>
    <xf numFmtId="0" fontId="21" fillId="6" borderId="94" xfId="0" applyFont="1" applyFill="1" applyBorder="1" applyAlignment="1">
      <alignment horizontal="center" vertical="center" wrapText="1"/>
    </xf>
    <xf numFmtId="0" fontId="21" fillId="6" borderId="95" xfId="0" applyFont="1" applyFill="1" applyBorder="1" applyAlignment="1">
      <alignment horizontal="center" vertical="center" wrapText="1"/>
    </xf>
    <xf numFmtId="0" fontId="21" fillId="8" borderId="93" xfId="0" applyFont="1" applyFill="1" applyBorder="1" applyAlignment="1">
      <alignment horizontal="center" vertical="center" wrapText="1"/>
    </xf>
    <xf numFmtId="0" fontId="21" fillId="8" borderId="95" xfId="0" applyFont="1" applyFill="1" applyBorder="1" applyAlignment="1">
      <alignment horizontal="center" vertical="center" wrapText="1"/>
    </xf>
  </cellXfs>
  <cellStyles count="9">
    <cellStyle name="Excel Built-in Normal" xfId="2"/>
    <cellStyle name="Moeda" xfId="8" builtinId="4"/>
    <cellStyle name="Normal" xfId="0" builtinId="0"/>
    <cellStyle name="Normal 2" xfId="5"/>
    <cellStyle name="Normal 2 2" xfId="1"/>
    <cellStyle name="Normal 3" xfId="4"/>
    <cellStyle name="Normal_Pesquisa no referencial 10 de maio de 2013" xfId="6"/>
    <cellStyle name="Porcentagem" xfId="3" builtinId="5"/>
    <cellStyle name="Vírgula" xfId="7" builtinId="3"/>
  </cellStyles>
  <dxfs count="10"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'CURVA ABC'!$C$9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'CURVA ABC'!$B$11:$B$83</c:f>
              <c:strCache>
                <c:ptCount val="73"/>
                <c:pt idx="0">
                  <c:v>5.1</c:v>
                </c:pt>
                <c:pt idx="1">
                  <c:v>3.13</c:v>
                </c:pt>
                <c:pt idx="2">
                  <c:v>3.14</c:v>
                </c:pt>
                <c:pt idx="3">
                  <c:v>4.9</c:v>
                </c:pt>
                <c:pt idx="4">
                  <c:v>3.6</c:v>
                </c:pt>
                <c:pt idx="5">
                  <c:v>4.10</c:v>
                </c:pt>
                <c:pt idx="6">
                  <c:v>3.8</c:v>
                </c:pt>
                <c:pt idx="7">
                  <c:v>5.2</c:v>
                </c:pt>
                <c:pt idx="8">
                  <c:v>3.1</c:v>
                </c:pt>
                <c:pt idx="9">
                  <c:v>3.7</c:v>
                </c:pt>
                <c:pt idx="10">
                  <c:v>6.2</c:v>
                </c:pt>
                <c:pt idx="11">
                  <c:v>3.5</c:v>
                </c:pt>
                <c:pt idx="12">
                  <c:v>4.7</c:v>
                </c:pt>
                <c:pt idx="13">
                  <c:v>2.14</c:v>
                </c:pt>
                <c:pt idx="14">
                  <c:v>3.12</c:v>
                </c:pt>
                <c:pt idx="15">
                  <c:v>2.28</c:v>
                </c:pt>
                <c:pt idx="16">
                  <c:v>2.27</c:v>
                </c:pt>
                <c:pt idx="17">
                  <c:v>3.4</c:v>
                </c:pt>
                <c:pt idx="18">
                  <c:v>2.25</c:v>
                </c:pt>
                <c:pt idx="19">
                  <c:v>2.31</c:v>
                </c:pt>
                <c:pt idx="20">
                  <c:v>1.2</c:v>
                </c:pt>
                <c:pt idx="21">
                  <c:v>1.1</c:v>
                </c:pt>
                <c:pt idx="22">
                  <c:v>2.19</c:v>
                </c:pt>
                <c:pt idx="23">
                  <c:v>3.9</c:v>
                </c:pt>
                <c:pt idx="24">
                  <c:v>2.24</c:v>
                </c:pt>
                <c:pt idx="25">
                  <c:v>1.3</c:v>
                </c:pt>
                <c:pt idx="26">
                  <c:v>2.35</c:v>
                </c:pt>
                <c:pt idx="27">
                  <c:v>2.13</c:v>
                </c:pt>
                <c:pt idx="28">
                  <c:v>4.3</c:v>
                </c:pt>
                <c:pt idx="29">
                  <c:v>2.18</c:v>
                </c:pt>
                <c:pt idx="30">
                  <c:v>1.4</c:v>
                </c:pt>
                <c:pt idx="31">
                  <c:v>2.4</c:v>
                </c:pt>
                <c:pt idx="32">
                  <c:v>2.34</c:v>
                </c:pt>
                <c:pt idx="33">
                  <c:v>2.15</c:v>
                </c:pt>
                <c:pt idx="34">
                  <c:v>2.12</c:v>
                </c:pt>
                <c:pt idx="35">
                  <c:v>2.20</c:v>
                </c:pt>
                <c:pt idx="36">
                  <c:v>2.36</c:v>
                </c:pt>
                <c:pt idx="37">
                  <c:v>2.30</c:v>
                </c:pt>
                <c:pt idx="38">
                  <c:v>2.29</c:v>
                </c:pt>
                <c:pt idx="39">
                  <c:v>2.3</c:v>
                </c:pt>
                <c:pt idx="40">
                  <c:v>1.5</c:v>
                </c:pt>
                <c:pt idx="41">
                  <c:v>4.4</c:v>
                </c:pt>
                <c:pt idx="42">
                  <c:v>2.11</c:v>
                </c:pt>
                <c:pt idx="43">
                  <c:v>2.21</c:v>
                </c:pt>
                <c:pt idx="44">
                  <c:v>2.17</c:v>
                </c:pt>
                <c:pt idx="45">
                  <c:v>1.8</c:v>
                </c:pt>
                <c:pt idx="46">
                  <c:v>2.2</c:v>
                </c:pt>
                <c:pt idx="47">
                  <c:v>1.7</c:v>
                </c:pt>
                <c:pt idx="48">
                  <c:v>2.5</c:v>
                </c:pt>
                <c:pt idx="49">
                  <c:v>2.1</c:v>
                </c:pt>
                <c:pt idx="50">
                  <c:v>2.10</c:v>
                </c:pt>
                <c:pt idx="51">
                  <c:v>2.7</c:v>
                </c:pt>
                <c:pt idx="52">
                  <c:v>2.8</c:v>
                </c:pt>
                <c:pt idx="53">
                  <c:v>3.10</c:v>
                </c:pt>
                <c:pt idx="54">
                  <c:v>4.5</c:v>
                </c:pt>
                <c:pt idx="55">
                  <c:v>2.6</c:v>
                </c:pt>
                <c:pt idx="56">
                  <c:v>4.1</c:v>
                </c:pt>
                <c:pt idx="57">
                  <c:v>2.33</c:v>
                </c:pt>
                <c:pt idx="58">
                  <c:v>3.11</c:v>
                </c:pt>
                <c:pt idx="59">
                  <c:v>1.6</c:v>
                </c:pt>
                <c:pt idx="60">
                  <c:v>2.16</c:v>
                </c:pt>
                <c:pt idx="61">
                  <c:v>2.22</c:v>
                </c:pt>
                <c:pt idx="62">
                  <c:v>2.9</c:v>
                </c:pt>
                <c:pt idx="63">
                  <c:v>6.3</c:v>
                </c:pt>
                <c:pt idx="64">
                  <c:v>3.2</c:v>
                </c:pt>
                <c:pt idx="65">
                  <c:v>3.3</c:v>
                </c:pt>
                <c:pt idx="66">
                  <c:v>2.23</c:v>
                </c:pt>
                <c:pt idx="67">
                  <c:v>2.26</c:v>
                </c:pt>
                <c:pt idx="68">
                  <c:v>2.32</c:v>
                </c:pt>
                <c:pt idx="69">
                  <c:v>4.2</c:v>
                </c:pt>
                <c:pt idx="70">
                  <c:v>6.1</c:v>
                </c:pt>
                <c:pt idx="71">
                  <c:v>4.6</c:v>
                </c:pt>
                <c:pt idx="72">
                  <c:v>4.8</c:v>
                </c:pt>
              </c:strCache>
            </c:strRef>
          </c:cat>
          <c:val>
            <c:numRef>
              <c:f>'CURVA ABC'!$C$11:$C$83</c:f>
              <c:numCache>
                <c:formatCode>General</c:formatCode>
                <c:ptCount val="73"/>
              </c:numCache>
            </c:numRef>
          </c:val>
          <c:extLst>
            <c:ext xmlns:c16="http://schemas.microsoft.com/office/drawing/2014/chart" uri="{C3380CC4-5D6E-409C-BE32-E72D297353CC}">
              <c16:uniqueId val="{00000000-A7D9-4694-916F-7F9A35B308AB}"/>
            </c:ext>
          </c:extLst>
        </c:ser>
        <c:ser>
          <c:idx val="1"/>
          <c:order val="1"/>
          <c:tx>
            <c:strRef>
              <c:f>'CURVA ABC'!$J$9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'CURVA ABC'!$B$11:$B$83</c:f>
              <c:strCache>
                <c:ptCount val="73"/>
                <c:pt idx="0">
                  <c:v>5.1</c:v>
                </c:pt>
                <c:pt idx="1">
                  <c:v>3.13</c:v>
                </c:pt>
                <c:pt idx="2">
                  <c:v>3.14</c:v>
                </c:pt>
                <c:pt idx="3">
                  <c:v>4.9</c:v>
                </c:pt>
                <c:pt idx="4">
                  <c:v>3.6</c:v>
                </c:pt>
                <c:pt idx="5">
                  <c:v>4.10</c:v>
                </c:pt>
                <c:pt idx="6">
                  <c:v>3.8</c:v>
                </c:pt>
                <c:pt idx="7">
                  <c:v>5.2</c:v>
                </c:pt>
                <c:pt idx="8">
                  <c:v>3.1</c:v>
                </c:pt>
                <c:pt idx="9">
                  <c:v>3.7</c:v>
                </c:pt>
                <c:pt idx="10">
                  <c:v>6.2</c:v>
                </c:pt>
                <c:pt idx="11">
                  <c:v>3.5</c:v>
                </c:pt>
                <c:pt idx="12">
                  <c:v>4.7</c:v>
                </c:pt>
                <c:pt idx="13">
                  <c:v>2.14</c:v>
                </c:pt>
                <c:pt idx="14">
                  <c:v>3.12</c:v>
                </c:pt>
                <c:pt idx="15">
                  <c:v>2.28</c:v>
                </c:pt>
                <c:pt idx="16">
                  <c:v>2.27</c:v>
                </c:pt>
                <c:pt idx="17">
                  <c:v>3.4</c:v>
                </c:pt>
                <c:pt idx="18">
                  <c:v>2.25</c:v>
                </c:pt>
                <c:pt idx="19">
                  <c:v>2.31</c:v>
                </c:pt>
                <c:pt idx="20">
                  <c:v>1.2</c:v>
                </c:pt>
                <c:pt idx="21">
                  <c:v>1.1</c:v>
                </c:pt>
                <c:pt idx="22">
                  <c:v>2.19</c:v>
                </c:pt>
                <c:pt idx="23">
                  <c:v>3.9</c:v>
                </c:pt>
                <c:pt idx="24">
                  <c:v>2.24</c:v>
                </c:pt>
                <c:pt idx="25">
                  <c:v>1.3</c:v>
                </c:pt>
                <c:pt idx="26">
                  <c:v>2.35</c:v>
                </c:pt>
                <c:pt idx="27">
                  <c:v>2.13</c:v>
                </c:pt>
                <c:pt idx="28">
                  <c:v>4.3</c:v>
                </c:pt>
                <c:pt idx="29">
                  <c:v>2.18</c:v>
                </c:pt>
                <c:pt idx="30">
                  <c:v>1.4</c:v>
                </c:pt>
                <c:pt idx="31">
                  <c:v>2.4</c:v>
                </c:pt>
                <c:pt idx="32">
                  <c:v>2.34</c:v>
                </c:pt>
                <c:pt idx="33">
                  <c:v>2.15</c:v>
                </c:pt>
                <c:pt idx="34">
                  <c:v>2.12</c:v>
                </c:pt>
                <c:pt idx="35">
                  <c:v>2.20</c:v>
                </c:pt>
                <c:pt idx="36">
                  <c:v>2.36</c:v>
                </c:pt>
                <c:pt idx="37">
                  <c:v>2.30</c:v>
                </c:pt>
                <c:pt idx="38">
                  <c:v>2.29</c:v>
                </c:pt>
                <c:pt idx="39">
                  <c:v>2.3</c:v>
                </c:pt>
                <c:pt idx="40">
                  <c:v>1.5</c:v>
                </c:pt>
                <c:pt idx="41">
                  <c:v>4.4</c:v>
                </c:pt>
                <c:pt idx="42">
                  <c:v>2.11</c:v>
                </c:pt>
                <c:pt idx="43">
                  <c:v>2.21</c:v>
                </c:pt>
                <c:pt idx="44">
                  <c:v>2.17</c:v>
                </c:pt>
                <c:pt idx="45">
                  <c:v>1.8</c:v>
                </c:pt>
                <c:pt idx="46">
                  <c:v>2.2</c:v>
                </c:pt>
                <c:pt idx="47">
                  <c:v>1.7</c:v>
                </c:pt>
                <c:pt idx="48">
                  <c:v>2.5</c:v>
                </c:pt>
                <c:pt idx="49">
                  <c:v>2.1</c:v>
                </c:pt>
                <c:pt idx="50">
                  <c:v>2.10</c:v>
                </c:pt>
                <c:pt idx="51">
                  <c:v>2.7</c:v>
                </c:pt>
                <c:pt idx="52">
                  <c:v>2.8</c:v>
                </c:pt>
                <c:pt idx="53">
                  <c:v>3.10</c:v>
                </c:pt>
                <c:pt idx="54">
                  <c:v>4.5</c:v>
                </c:pt>
                <c:pt idx="55">
                  <c:v>2.6</c:v>
                </c:pt>
                <c:pt idx="56">
                  <c:v>4.1</c:v>
                </c:pt>
                <c:pt idx="57">
                  <c:v>2.33</c:v>
                </c:pt>
                <c:pt idx="58">
                  <c:v>3.11</c:v>
                </c:pt>
                <c:pt idx="59">
                  <c:v>1.6</c:v>
                </c:pt>
                <c:pt idx="60">
                  <c:v>2.16</c:v>
                </c:pt>
                <c:pt idx="61">
                  <c:v>2.22</c:v>
                </c:pt>
                <c:pt idx="62">
                  <c:v>2.9</c:v>
                </c:pt>
                <c:pt idx="63">
                  <c:v>6.3</c:v>
                </c:pt>
                <c:pt idx="64">
                  <c:v>3.2</c:v>
                </c:pt>
                <c:pt idx="65">
                  <c:v>3.3</c:v>
                </c:pt>
                <c:pt idx="66">
                  <c:v>2.23</c:v>
                </c:pt>
                <c:pt idx="67">
                  <c:v>2.26</c:v>
                </c:pt>
                <c:pt idx="68">
                  <c:v>2.32</c:v>
                </c:pt>
                <c:pt idx="69">
                  <c:v>4.2</c:v>
                </c:pt>
                <c:pt idx="70">
                  <c:v>6.1</c:v>
                </c:pt>
                <c:pt idx="71">
                  <c:v>4.6</c:v>
                </c:pt>
                <c:pt idx="72">
                  <c:v>4.8</c:v>
                </c:pt>
              </c:strCache>
            </c:strRef>
          </c:cat>
          <c:val>
            <c:numRef>
              <c:f>'CURVA ABC'!$J$11:$J$83</c:f>
              <c:numCache>
                <c:formatCode>0.000%</c:formatCode>
                <c:ptCount val="73"/>
                <c:pt idx="0">
                  <c:v>0.38026445150929761</c:v>
                </c:pt>
                <c:pt idx="1">
                  <c:v>0.11149729288081257</c:v>
                </c:pt>
                <c:pt idx="2">
                  <c:v>8.2155900017440844E-2</c:v>
                </c:pt>
                <c:pt idx="3">
                  <c:v>3.6663554655059445E-2</c:v>
                </c:pt>
                <c:pt idx="4">
                  <c:v>3.5822923313400749E-2</c:v>
                </c:pt>
                <c:pt idx="5">
                  <c:v>3.0480305267436558E-2</c:v>
                </c:pt>
                <c:pt idx="6">
                  <c:v>2.3644803355223627E-2</c:v>
                </c:pt>
                <c:pt idx="7">
                  <c:v>2.3550647285877226E-2</c:v>
                </c:pt>
                <c:pt idx="8">
                  <c:v>2.3523398314721267E-2</c:v>
                </c:pt>
                <c:pt idx="9">
                  <c:v>2.0622807555398415E-2</c:v>
                </c:pt>
                <c:pt idx="10">
                  <c:v>1.6700607161738122E-2</c:v>
                </c:pt>
                <c:pt idx="11">
                  <c:v>1.5760519595182529E-2</c:v>
                </c:pt>
                <c:pt idx="12">
                  <c:v>1.0302385915029841E-2</c:v>
                </c:pt>
                <c:pt idx="13">
                  <c:v>9.79062627902548E-3</c:v>
                </c:pt>
                <c:pt idx="14">
                  <c:v>9.3892457162789537E-3</c:v>
                </c:pt>
                <c:pt idx="15">
                  <c:v>8.8159667499191959E-3</c:v>
                </c:pt>
                <c:pt idx="16">
                  <c:v>8.4030260175913529E-3</c:v>
                </c:pt>
                <c:pt idx="17">
                  <c:v>7.7920660155741932E-3</c:v>
                </c:pt>
                <c:pt idx="18">
                  <c:v>7.6906838710770302E-3</c:v>
                </c:pt>
                <c:pt idx="19">
                  <c:v>6.2721091780685561E-3</c:v>
                </c:pt>
                <c:pt idx="20">
                  <c:v>5.6788391042316292E-3</c:v>
                </c:pt>
                <c:pt idx="21">
                  <c:v>5.4073123524722051E-3</c:v>
                </c:pt>
                <c:pt idx="22">
                  <c:v>5.3790763862876095E-3</c:v>
                </c:pt>
                <c:pt idx="23">
                  <c:v>5.074216649240469E-3</c:v>
                </c:pt>
                <c:pt idx="24">
                  <c:v>4.8567784655784065E-3</c:v>
                </c:pt>
                <c:pt idx="25">
                  <c:v>4.7258159327602306E-3</c:v>
                </c:pt>
                <c:pt idx="26">
                  <c:v>4.661283670212144E-3</c:v>
                </c:pt>
                <c:pt idx="27">
                  <c:v>4.6191654212405977E-3</c:v>
                </c:pt>
                <c:pt idx="28">
                  <c:v>4.5624756211549529E-3</c:v>
                </c:pt>
                <c:pt idx="29">
                  <c:v>4.4633807000155953E-3</c:v>
                </c:pt>
                <c:pt idx="30">
                  <c:v>4.3835790893967906E-3</c:v>
                </c:pt>
                <c:pt idx="31">
                  <c:v>4.3818671608632197E-3</c:v>
                </c:pt>
                <c:pt idx="32">
                  <c:v>4.1625170135400234E-3</c:v>
                </c:pt>
                <c:pt idx="33">
                  <c:v>4.1038989678642548E-3</c:v>
                </c:pt>
                <c:pt idx="34">
                  <c:v>3.9778706348593236E-3</c:v>
                </c:pt>
                <c:pt idx="35">
                  <c:v>3.8453419355385151E-3</c:v>
                </c:pt>
                <c:pt idx="36">
                  <c:v>3.7426727433213678E-3</c:v>
                </c:pt>
                <c:pt idx="37">
                  <c:v>3.6124173114192317E-3</c:v>
                </c:pt>
                <c:pt idx="38">
                  <c:v>3.4164371595031438E-3</c:v>
                </c:pt>
                <c:pt idx="39">
                  <c:v>3.228622782639396E-3</c:v>
                </c:pt>
                <c:pt idx="40">
                  <c:v>3.1668506947197116E-3</c:v>
                </c:pt>
                <c:pt idx="41">
                  <c:v>2.8185414671737866E-3</c:v>
                </c:pt>
                <c:pt idx="42">
                  <c:v>2.6583831096906891E-3</c:v>
                </c:pt>
                <c:pt idx="43">
                  <c:v>2.4811132201714003E-3</c:v>
                </c:pt>
                <c:pt idx="44">
                  <c:v>2.208953799171309E-3</c:v>
                </c:pt>
                <c:pt idx="45">
                  <c:v>2.0014382882323637E-3</c:v>
                </c:pt>
                <c:pt idx="46">
                  <c:v>1.9483979662298331E-3</c:v>
                </c:pt>
                <c:pt idx="47">
                  <c:v>1.8493294063088373E-3</c:v>
                </c:pt>
                <c:pt idx="48">
                  <c:v>1.7194182209052998E-3</c:v>
                </c:pt>
                <c:pt idx="49">
                  <c:v>1.7026990058247185E-3</c:v>
                </c:pt>
                <c:pt idx="50">
                  <c:v>1.5689452851800686E-3</c:v>
                </c:pt>
                <c:pt idx="51">
                  <c:v>1.5013295354136794E-3</c:v>
                </c:pt>
                <c:pt idx="52">
                  <c:v>1.3577771948382006E-3</c:v>
                </c:pt>
                <c:pt idx="53">
                  <c:v>1.2716651737417083E-3</c:v>
                </c:pt>
                <c:pt idx="54">
                  <c:v>1.2527982946946455E-3</c:v>
                </c:pt>
                <c:pt idx="55">
                  <c:v>1.2472500335595758E-3</c:v>
                </c:pt>
                <c:pt idx="56">
                  <c:v>1.212740097405028E-3</c:v>
                </c:pt>
                <c:pt idx="57">
                  <c:v>1.1979033834474131E-3</c:v>
                </c:pt>
                <c:pt idx="58">
                  <c:v>1.1845801135557089E-3</c:v>
                </c:pt>
                <c:pt idx="59">
                  <c:v>1.118529754962001E-3</c:v>
                </c:pt>
                <c:pt idx="60">
                  <c:v>9.6901667771709594E-4</c:v>
                </c:pt>
                <c:pt idx="61">
                  <c:v>8.0585469200073129E-4</c:v>
                </c:pt>
                <c:pt idx="62">
                  <c:v>7.7652706124400396E-4</c:v>
                </c:pt>
                <c:pt idx="63">
                  <c:v>7.5129472329267598E-4</c:v>
                </c:pt>
                <c:pt idx="64">
                  <c:v>6.5927856461323866E-4</c:v>
                </c:pt>
                <c:pt idx="65">
                  <c:v>6.3806553713203367E-4</c:v>
                </c:pt>
                <c:pt idx="66">
                  <c:v>6.1981116874689141E-4</c:v>
                </c:pt>
                <c:pt idx="67">
                  <c:v>5.0972361955093639E-4</c:v>
                </c:pt>
                <c:pt idx="68">
                  <c:v>5.0291622257414613E-4</c:v>
                </c:pt>
                <c:pt idx="69">
                  <c:v>4.2999644060750408E-4</c:v>
                </c:pt>
                <c:pt idx="70">
                  <c:v>3.8766497589921357E-4</c:v>
                </c:pt>
                <c:pt idx="71">
                  <c:v>3.3996667726457437E-5</c:v>
                </c:pt>
                <c:pt idx="72">
                  <c:v>2.0319847376733177E-5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9-4694-916F-7F9A35B3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601249727"/>
        <c:axId val="1699207375"/>
      </c:barChart>
      <c:lineChart>
        <c:grouping val="standard"/>
        <c:varyColors val="0"/>
        <c:ser>
          <c:idx val="2"/>
          <c:order val="2"/>
          <c:tx>
            <c:strRef>
              <c:f>'CURVA ABC'!$K$9</c:f>
              <c:strCache>
                <c:ptCount val="1"/>
                <c:pt idx="0">
                  <c:v>TOTAL ACUMULADO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'CURVA ABC'!$B$11:$B$83</c:f>
              <c:strCache>
                <c:ptCount val="73"/>
                <c:pt idx="0">
                  <c:v>5.1</c:v>
                </c:pt>
                <c:pt idx="1">
                  <c:v>3.13</c:v>
                </c:pt>
                <c:pt idx="2">
                  <c:v>3.14</c:v>
                </c:pt>
                <c:pt idx="3">
                  <c:v>4.9</c:v>
                </c:pt>
                <c:pt idx="4">
                  <c:v>3.6</c:v>
                </c:pt>
                <c:pt idx="5">
                  <c:v>4.10</c:v>
                </c:pt>
                <c:pt idx="6">
                  <c:v>3.8</c:v>
                </c:pt>
                <c:pt idx="7">
                  <c:v>5.2</c:v>
                </c:pt>
                <c:pt idx="8">
                  <c:v>3.1</c:v>
                </c:pt>
                <c:pt idx="9">
                  <c:v>3.7</c:v>
                </c:pt>
                <c:pt idx="10">
                  <c:v>6.2</c:v>
                </c:pt>
                <c:pt idx="11">
                  <c:v>3.5</c:v>
                </c:pt>
                <c:pt idx="12">
                  <c:v>4.7</c:v>
                </c:pt>
                <c:pt idx="13">
                  <c:v>2.14</c:v>
                </c:pt>
                <c:pt idx="14">
                  <c:v>3.12</c:v>
                </c:pt>
                <c:pt idx="15">
                  <c:v>2.28</c:v>
                </c:pt>
                <c:pt idx="16">
                  <c:v>2.27</c:v>
                </c:pt>
                <c:pt idx="17">
                  <c:v>3.4</c:v>
                </c:pt>
                <c:pt idx="18">
                  <c:v>2.25</c:v>
                </c:pt>
                <c:pt idx="19">
                  <c:v>2.31</c:v>
                </c:pt>
                <c:pt idx="20">
                  <c:v>1.2</c:v>
                </c:pt>
                <c:pt idx="21">
                  <c:v>1.1</c:v>
                </c:pt>
                <c:pt idx="22">
                  <c:v>2.19</c:v>
                </c:pt>
                <c:pt idx="23">
                  <c:v>3.9</c:v>
                </c:pt>
                <c:pt idx="24">
                  <c:v>2.24</c:v>
                </c:pt>
                <c:pt idx="25">
                  <c:v>1.3</c:v>
                </c:pt>
                <c:pt idx="26">
                  <c:v>2.35</c:v>
                </c:pt>
                <c:pt idx="27">
                  <c:v>2.13</c:v>
                </c:pt>
                <c:pt idx="28">
                  <c:v>4.3</c:v>
                </c:pt>
                <c:pt idx="29">
                  <c:v>2.18</c:v>
                </c:pt>
                <c:pt idx="30">
                  <c:v>1.4</c:v>
                </c:pt>
                <c:pt idx="31">
                  <c:v>2.4</c:v>
                </c:pt>
                <c:pt idx="32">
                  <c:v>2.34</c:v>
                </c:pt>
                <c:pt idx="33">
                  <c:v>2.15</c:v>
                </c:pt>
                <c:pt idx="34">
                  <c:v>2.12</c:v>
                </c:pt>
                <c:pt idx="35">
                  <c:v>2.20</c:v>
                </c:pt>
                <c:pt idx="36">
                  <c:v>2.36</c:v>
                </c:pt>
                <c:pt idx="37">
                  <c:v>2.30</c:v>
                </c:pt>
                <c:pt idx="38">
                  <c:v>2.29</c:v>
                </c:pt>
                <c:pt idx="39">
                  <c:v>2.3</c:v>
                </c:pt>
                <c:pt idx="40">
                  <c:v>1.5</c:v>
                </c:pt>
                <c:pt idx="41">
                  <c:v>4.4</c:v>
                </c:pt>
                <c:pt idx="42">
                  <c:v>2.11</c:v>
                </c:pt>
                <c:pt idx="43">
                  <c:v>2.21</c:v>
                </c:pt>
                <c:pt idx="44">
                  <c:v>2.17</c:v>
                </c:pt>
                <c:pt idx="45">
                  <c:v>1.8</c:v>
                </c:pt>
                <c:pt idx="46">
                  <c:v>2.2</c:v>
                </c:pt>
                <c:pt idx="47">
                  <c:v>1.7</c:v>
                </c:pt>
                <c:pt idx="48">
                  <c:v>2.5</c:v>
                </c:pt>
                <c:pt idx="49">
                  <c:v>2.1</c:v>
                </c:pt>
                <c:pt idx="50">
                  <c:v>2.10</c:v>
                </c:pt>
                <c:pt idx="51">
                  <c:v>2.7</c:v>
                </c:pt>
                <c:pt idx="52">
                  <c:v>2.8</c:v>
                </c:pt>
                <c:pt idx="53">
                  <c:v>3.10</c:v>
                </c:pt>
                <c:pt idx="54">
                  <c:v>4.5</c:v>
                </c:pt>
                <c:pt idx="55">
                  <c:v>2.6</c:v>
                </c:pt>
                <c:pt idx="56">
                  <c:v>4.1</c:v>
                </c:pt>
                <c:pt idx="57">
                  <c:v>2.33</c:v>
                </c:pt>
                <c:pt idx="58">
                  <c:v>3.11</c:v>
                </c:pt>
                <c:pt idx="59">
                  <c:v>1.6</c:v>
                </c:pt>
                <c:pt idx="60">
                  <c:v>2.16</c:v>
                </c:pt>
                <c:pt idx="61">
                  <c:v>2.22</c:v>
                </c:pt>
                <c:pt idx="62">
                  <c:v>2.9</c:v>
                </c:pt>
                <c:pt idx="63">
                  <c:v>6.3</c:v>
                </c:pt>
                <c:pt idx="64">
                  <c:v>3.2</c:v>
                </c:pt>
                <c:pt idx="65">
                  <c:v>3.3</c:v>
                </c:pt>
                <c:pt idx="66">
                  <c:v>2.23</c:v>
                </c:pt>
                <c:pt idx="67">
                  <c:v>2.26</c:v>
                </c:pt>
                <c:pt idx="68">
                  <c:v>2.32</c:v>
                </c:pt>
                <c:pt idx="69">
                  <c:v>4.2</c:v>
                </c:pt>
                <c:pt idx="70">
                  <c:v>6.1</c:v>
                </c:pt>
                <c:pt idx="71">
                  <c:v>4.6</c:v>
                </c:pt>
                <c:pt idx="72">
                  <c:v>4.8</c:v>
                </c:pt>
              </c:strCache>
            </c:strRef>
          </c:cat>
          <c:val>
            <c:numRef>
              <c:f>'CURVA ABC'!$K$11:$K$83</c:f>
              <c:numCache>
                <c:formatCode>0.000%</c:formatCode>
                <c:ptCount val="73"/>
                <c:pt idx="0">
                  <c:v>0.38026445150929761</c:v>
                </c:pt>
                <c:pt idx="1">
                  <c:v>0.49176174439011017</c:v>
                </c:pt>
                <c:pt idx="2">
                  <c:v>0.573917644407551</c:v>
                </c:pt>
                <c:pt idx="3">
                  <c:v>0.61058119906261044</c:v>
                </c:pt>
                <c:pt idx="4">
                  <c:v>0.64640412237601119</c:v>
                </c:pt>
                <c:pt idx="5">
                  <c:v>0.67688442764344781</c:v>
                </c:pt>
                <c:pt idx="6">
                  <c:v>0.70052923099867148</c:v>
                </c:pt>
                <c:pt idx="7">
                  <c:v>0.72407987828454867</c:v>
                </c:pt>
                <c:pt idx="8">
                  <c:v>0.74760327659926995</c:v>
                </c:pt>
                <c:pt idx="9">
                  <c:v>0.76822608415466842</c:v>
                </c:pt>
                <c:pt idx="10">
                  <c:v>0.78492669131640658</c:v>
                </c:pt>
                <c:pt idx="11">
                  <c:v>0.80068721091158912</c:v>
                </c:pt>
                <c:pt idx="12">
                  <c:v>0.81098959682661897</c:v>
                </c:pt>
                <c:pt idx="13">
                  <c:v>0.82078022310564447</c:v>
                </c:pt>
                <c:pt idx="14">
                  <c:v>0.83016946882192344</c:v>
                </c:pt>
                <c:pt idx="15">
                  <c:v>0.83898543557184269</c:v>
                </c:pt>
                <c:pt idx="16">
                  <c:v>0.84738846158943404</c:v>
                </c:pt>
                <c:pt idx="17">
                  <c:v>0.85518052760500818</c:v>
                </c:pt>
                <c:pt idx="18">
                  <c:v>0.86287121147608525</c:v>
                </c:pt>
                <c:pt idx="19">
                  <c:v>0.86914332065415378</c:v>
                </c:pt>
                <c:pt idx="20">
                  <c:v>0.8748221597583854</c:v>
                </c:pt>
                <c:pt idx="21">
                  <c:v>0.88022947211085756</c:v>
                </c:pt>
                <c:pt idx="22">
                  <c:v>0.88560854849714521</c:v>
                </c:pt>
                <c:pt idx="23">
                  <c:v>0.89068276514638567</c:v>
                </c:pt>
                <c:pt idx="24">
                  <c:v>0.89553954361196408</c:v>
                </c:pt>
                <c:pt idx="25">
                  <c:v>0.90026535954472431</c:v>
                </c:pt>
                <c:pt idx="26">
                  <c:v>0.90492664321493643</c:v>
                </c:pt>
                <c:pt idx="27">
                  <c:v>0.90954580863617707</c:v>
                </c:pt>
                <c:pt idx="28">
                  <c:v>0.91410828425733204</c:v>
                </c:pt>
                <c:pt idx="29">
                  <c:v>0.91857166495734766</c:v>
                </c:pt>
                <c:pt idx="30">
                  <c:v>0.92295524404674445</c:v>
                </c:pt>
                <c:pt idx="31">
                  <c:v>0.92733711120760765</c:v>
                </c:pt>
                <c:pt idx="32">
                  <c:v>0.93149962822114762</c:v>
                </c:pt>
                <c:pt idx="33">
                  <c:v>0.93560352718901185</c:v>
                </c:pt>
                <c:pt idx="34">
                  <c:v>0.93958139782387118</c:v>
                </c:pt>
                <c:pt idx="35">
                  <c:v>0.94342673975940972</c:v>
                </c:pt>
                <c:pt idx="36">
                  <c:v>0.94716941250273112</c:v>
                </c:pt>
                <c:pt idx="37">
                  <c:v>0.95078182981415038</c:v>
                </c:pt>
                <c:pt idx="38">
                  <c:v>0.95419826697365351</c:v>
                </c:pt>
                <c:pt idx="39">
                  <c:v>0.95742688975629286</c:v>
                </c:pt>
                <c:pt idx="40">
                  <c:v>0.96059374045101253</c:v>
                </c:pt>
                <c:pt idx="41">
                  <c:v>0.96341228191818629</c:v>
                </c:pt>
                <c:pt idx="42">
                  <c:v>0.96607066502787697</c:v>
                </c:pt>
                <c:pt idx="43">
                  <c:v>0.96855177824804839</c:v>
                </c:pt>
                <c:pt idx="44">
                  <c:v>0.97076073204721969</c:v>
                </c:pt>
                <c:pt idx="45">
                  <c:v>0.97276217033545209</c:v>
                </c:pt>
                <c:pt idx="46">
                  <c:v>0.9747105683016819</c:v>
                </c:pt>
                <c:pt idx="47">
                  <c:v>0.97655989770799079</c:v>
                </c:pt>
                <c:pt idx="48">
                  <c:v>0.97827931592889605</c:v>
                </c:pt>
                <c:pt idx="49">
                  <c:v>0.97998201493472081</c:v>
                </c:pt>
                <c:pt idx="50">
                  <c:v>0.98155096021990085</c:v>
                </c:pt>
                <c:pt idx="51">
                  <c:v>0.98305228975531456</c:v>
                </c:pt>
                <c:pt idx="52">
                  <c:v>0.98441006695015276</c:v>
                </c:pt>
                <c:pt idx="53">
                  <c:v>0.98568173212389443</c:v>
                </c:pt>
                <c:pt idx="54">
                  <c:v>0.98693453041858903</c:v>
                </c:pt>
                <c:pt idx="55">
                  <c:v>0.98818178045214855</c:v>
                </c:pt>
                <c:pt idx="56">
                  <c:v>0.98939452054955357</c:v>
                </c:pt>
                <c:pt idx="57">
                  <c:v>0.99059242393300095</c:v>
                </c:pt>
                <c:pt idx="58">
                  <c:v>0.99177700404655666</c:v>
                </c:pt>
                <c:pt idx="59">
                  <c:v>0.99289553380151863</c:v>
                </c:pt>
                <c:pt idx="60">
                  <c:v>0.99386455047923572</c:v>
                </c:pt>
                <c:pt idx="61">
                  <c:v>0.9946704051712365</c:v>
                </c:pt>
                <c:pt idx="62">
                  <c:v>0.99544693223248049</c:v>
                </c:pt>
                <c:pt idx="63">
                  <c:v>0.9961982269557732</c:v>
                </c:pt>
                <c:pt idx="64">
                  <c:v>0.99685750552038643</c:v>
                </c:pt>
                <c:pt idx="65">
                  <c:v>0.99749557105751852</c:v>
                </c:pt>
                <c:pt idx="66">
                  <c:v>0.99811538222626539</c:v>
                </c:pt>
                <c:pt idx="67">
                  <c:v>0.99862510584581632</c:v>
                </c:pt>
                <c:pt idx="68">
                  <c:v>0.99912802206839046</c:v>
                </c:pt>
                <c:pt idx="69">
                  <c:v>0.99955801850899795</c:v>
                </c:pt>
                <c:pt idx="70">
                  <c:v>0.99994568348489721</c:v>
                </c:pt>
                <c:pt idx="71">
                  <c:v>0.99997968015262362</c:v>
                </c:pt>
                <c:pt idx="72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694-916F-7F9A35B3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249727"/>
        <c:axId val="1699207375"/>
      </c:lineChart>
      <c:catAx>
        <c:axId val="160124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9207375"/>
        <c:crosses val="autoZero"/>
        <c:auto val="1"/>
        <c:lblAlgn val="ctr"/>
        <c:lblOffset val="100"/>
        <c:noMultiLvlLbl val="0"/>
      </c:catAx>
      <c:valAx>
        <c:axId val="169920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124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23</xdr:row>
      <xdr:rowOff>0</xdr:rowOff>
    </xdr:from>
    <xdr:ext cx="190500" cy="190500"/>
    <xdr:pic>
      <xdr:nvPicPr>
        <xdr:cNvPr id="2" name="image1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25</xdr:row>
      <xdr:rowOff>0</xdr:rowOff>
    </xdr:from>
    <xdr:ext cx="190500" cy="190500"/>
    <xdr:pic>
      <xdr:nvPicPr>
        <xdr:cNvPr id="3" name="image2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27</xdr:row>
      <xdr:rowOff>0</xdr:rowOff>
    </xdr:from>
    <xdr:ext cx="190500" cy="190500"/>
    <xdr:pic>
      <xdr:nvPicPr>
        <xdr:cNvPr id="4" name="image3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90500" cy="190500"/>
    <xdr:pic>
      <xdr:nvPicPr>
        <xdr:cNvPr id="5" name="image4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31</xdr:row>
      <xdr:rowOff>0</xdr:rowOff>
    </xdr:from>
    <xdr:ext cx="190500" cy="190500"/>
    <xdr:pic>
      <xdr:nvPicPr>
        <xdr:cNvPr id="6" name="image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33</xdr:row>
      <xdr:rowOff>0</xdr:rowOff>
    </xdr:from>
    <xdr:ext cx="190500" cy="190500"/>
    <xdr:pic>
      <xdr:nvPicPr>
        <xdr:cNvPr id="7" name="image6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35</xdr:row>
      <xdr:rowOff>0</xdr:rowOff>
    </xdr:from>
    <xdr:ext cx="190500" cy="190500"/>
    <xdr:pic>
      <xdr:nvPicPr>
        <xdr:cNvPr id="8" name="image7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37</xdr:row>
      <xdr:rowOff>0</xdr:rowOff>
    </xdr:from>
    <xdr:ext cx="190500" cy="190500"/>
    <xdr:pic>
      <xdr:nvPicPr>
        <xdr:cNvPr id="9" name="image8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39</xdr:row>
      <xdr:rowOff>0</xdr:rowOff>
    </xdr:from>
    <xdr:ext cx="190500" cy="190500"/>
    <xdr:pic>
      <xdr:nvPicPr>
        <xdr:cNvPr id="10" name="image9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0</xdr:rowOff>
    </xdr:from>
    <xdr:ext cx="190500" cy="190500"/>
    <xdr:pic>
      <xdr:nvPicPr>
        <xdr:cNvPr id="11" name="image10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43</xdr:row>
      <xdr:rowOff>0</xdr:rowOff>
    </xdr:from>
    <xdr:ext cx="190500" cy="190500"/>
    <xdr:pic>
      <xdr:nvPicPr>
        <xdr:cNvPr id="12" name="image11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45</xdr:row>
      <xdr:rowOff>0</xdr:rowOff>
    </xdr:from>
    <xdr:ext cx="190500" cy="190500"/>
    <xdr:pic>
      <xdr:nvPicPr>
        <xdr:cNvPr id="13" name="image12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47</xdr:row>
      <xdr:rowOff>0</xdr:rowOff>
    </xdr:from>
    <xdr:ext cx="190500" cy="190500"/>
    <xdr:pic>
      <xdr:nvPicPr>
        <xdr:cNvPr id="14" name="image13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49</xdr:row>
      <xdr:rowOff>0</xdr:rowOff>
    </xdr:from>
    <xdr:ext cx="190500" cy="190500"/>
    <xdr:pic>
      <xdr:nvPicPr>
        <xdr:cNvPr id="15" name="image14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51</xdr:row>
      <xdr:rowOff>0</xdr:rowOff>
    </xdr:from>
    <xdr:ext cx="190500" cy="190500"/>
    <xdr:pic>
      <xdr:nvPicPr>
        <xdr:cNvPr id="16" name="image15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53</xdr:row>
      <xdr:rowOff>0</xdr:rowOff>
    </xdr:from>
    <xdr:ext cx="190500" cy="190500"/>
    <xdr:pic>
      <xdr:nvPicPr>
        <xdr:cNvPr id="17" name="image16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55</xdr:row>
      <xdr:rowOff>0</xdr:rowOff>
    </xdr:from>
    <xdr:ext cx="190500" cy="190500"/>
    <xdr:pic>
      <xdr:nvPicPr>
        <xdr:cNvPr id="18" name="image1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57</xdr:row>
      <xdr:rowOff>0</xdr:rowOff>
    </xdr:from>
    <xdr:ext cx="190500" cy="190500"/>
    <xdr:pic>
      <xdr:nvPicPr>
        <xdr:cNvPr id="19" name="image18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59</xdr:row>
      <xdr:rowOff>0</xdr:rowOff>
    </xdr:from>
    <xdr:ext cx="190500" cy="190500"/>
    <xdr:pic>
      <xdr:nvPicPr>
        <xdr:cNvPr id="20" name="image19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61</xdr:row>
      <xdr:rowOff>0</xdr:rowOff>
    </xdr:from>
    <xdr:ext cx="190500" cy="190500"/>
    <xdr:pic>
      <xdr:nvPicPr>
        <xdr:cNvPr id="21" name="image20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63</xdr:row>
      <xdr:rowOff>0</xdr:rowOff>
    </xdr:from>
    <xdr:ext cx="190500" cy="190500"/>
    <xdr:pic>
      <xdr:nvPicPr>
        <xdr:cNvPr id="22" name="image21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65</xdr:row>
      <xdr:rowOff>0</xdr:rowOff>
    </xdr:from>
    <xdr:ext cx="190500" cy="190500"/>
    <xdr:pic>
      <xdr:nvPicPr>
        <xdr:cNvPr id="23" name="image22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67</xdr:row>
      <xdr:rowOff>0</xdr:rowOff>
    </xdr:from>
    <xdr:ext cx="190500" cy="190500"/>
    <xdr:pic>
      <xdr:nvPicPr>
        <xdr:cNvPr id="24" name="image23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69</xdr:row>
      <xdr:rowOff>0</xdr:rowOff>
    </xdr:from>
    <xdr:ext cx="190500" cy="190500"/>
    <xdr:pic>
      <xdr:nvPicPr>
        <xdr:cNvPr id="25" name="image24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71</xdr:row>
      <xdr:rowOff>0</xdr:rowOff>
    </xdr:from>
    <xdr:ext cx="190500" cy="190500"/>
    <xdr:pic>
      <xdr:nvPicPr>
        <xdr:cNvPr id="26" name="image25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73</xdr:row>
      <xdr:rowOff>0</xdr:rowOff>
    </xdr:from>
    <xdr:ext cx="190500" cy="190500"/>
    <xdr:pic>
      <xdr:nvPicPr>
        <xdr:cNvPr id="27" name="image26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75</xdr:row>
      <xdr:rowOff>0</xdr:rowOff>
    </xdr:from>
    <xdr:ext cx="190500" cy="190500"/>
    <xdr:pic>
      <xdr:nvPicPr>
        <xdr:cNvPr id="28" name="image27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77</xdr:row>
      <xdr:rowOff>0</xdr:rowOff>
    </xdr:from>
    <xdr:ext cx="190500" cy="190500"/>
    <xdr:pic>
      <xdr:nvPicPr>
        <xdr:cNvPr id="29" name="image28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79</xdr:row>
      <xdr:rowOff>0</xdr:rowOff>
    </xdr:from>
    <xdr:ext cx="190500" cy="190500"/>
    <xdr:pic>
      <xdr:nvPicPr>
        <xdr:cNvPr id="30" name="image29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81</xdr:row>
      <xdr:rowOff>0</xdr:rowOff>
    </xdr:from>
    <xdr:ext cx="190500" cy="190500"/>
    <xdr:pic>
      <xdr:nvPicPr>
        <xdr:cNvPr id="31" name="image30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83</xdr:row>
      <xdr:rowOff>0</xdr:rowOff>
    </xdr:from>
    <xdr:ext cx="190500" cy="190500"/>
    <xdr:pic>
      <xdr:nvPicPr>
        <xdr:cNvPr id="32" name="image31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85</xdr:row>
      <xdr:rowOff>0</xdr:rowOff>
    </xdr:from>
    <xdr:ext cx="190500" cy="190500"/>
    <xdr:pic>
      <xdr:nvPicPr>
        <xdr:cNvPr id="33" name="image32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87</xdr:row>
      <xdr:rowOff>0</xdr:rowOff>
    </xdr:from>
    <xdr:ext cx="190500" cy="190500"/>
    <xdr:pic>
      <xdr:nvPicPr>
        <xdr:cNvPr id="34" name="image33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89</xdr:row>
      <xdr:rowOff>0</xdr:rowOff>
    </xdr:from>
    <xdr:ext cx="190500" cy="190500"/>
    <xdr:pic>
      <xdr:nvPicPr>
        <xdr:cNvPr id="35" name="image34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91</xdr:row>
      <xdr:rowOff>0</xdr:rowOff>
    </xdr:from>
    <xdr:ext cx="190500" cy="190500"/>
    <xdr:pic>
      <xdr:nvPicPr>
        <xdr:cNvPr id="36" name="image35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93</xdr:row>
      <xdr:rowOff>0</xdr:rowOff>
    </xdr:from>
    <xdr:ext cx="190500" cy="190500"/>
    <xdr:pic>
      <xdr:nvPicPr>
        <xdr:cNvPr id="37" name="image36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95</xdr:row>
      <xdr:rowOff>0</xdr:rowOff>
    </xdr:from>
    <xdr:ext cx="190500" cy="190500"/>
    <xdr:pic>
      <xdr:nvPicPr>
        <xdr:cNvPr id="38" name="image37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97</xdr:row>
      <xdr:rowOff>0</xdr:rowOff>
    </xdr:from>
    <xdr:ext cx="190500" cy="190500"/>
    <xdr:pic>
      <xdr:nvPicPr>
        <xdr:cNvPr id="39" name="image38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99</xdr:row>
      <xdr:rowOff>0</xdr:rowOff>
    </xdr:from>
    <xdr:ext cx="190500" cy="190500"/>
    <xdr:pic>
      <xdr:nvPicPr>
        <xdr:cNvPr id="40" name="image39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101</xdr:row>
      <xdr:rowOff>0</xdr:rowOff>
    </xdr:from>
    <xdr:ext cx="190500" cy="190500"/>
    <xdr:pic>
      <xdr:nvPicPr>
        <xdr:cNvPr id="41" name="image40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103</xdr:row>
      <xdr:rowOff>0</xdr:rowOff>
    </xdr:from>
    <xdr:ext cx="190500" cy="190500"/>
    <xdr:pic>
      <xdr:nvPicPr>
        <xdr:cNvPr id="42" name="image41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105</xdr:row>
      <xdr:rowOff>0</xdr:rowOff>
    </xdr:from>
    <xdr:ext cx="190500" cy="190500"/>
    <xdr:pic>
      <xdr:nvPicPr>
        <xdr:cNvPr id="43" name="image42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107</xdr:row>
      <xdr:rowOff>0</xdr:rowOff>
    </xdr:from>
    <xdr:ext cx="190500" cy="190500"/>
    <xdr:pic>
      <xdr:nvPicPr>
        <xdr:cNvPr id="44" name="image43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109</xdr:row>
      <xdr:rowOff>0</xdr:rowOff>
    </xdr:from>
    <xdr:ext cx="190500" cy="190500"/>
    <xdr:pic>
      <xdr:nvPicPr>
        <xdr:cNvPr id="45" name="image44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111</xdr:row>
      <xdr:rowOff>0</xdr:rowOff>
    </xdr:from>
    <xdr:ext cx="190500" cy="190500"/>
    <xdr:pic>
      <xdr:nvPicPr>
        <xdr:cNvPr id="46" name="image45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113</xdr:row>
      <xdr:rowOff>0</xdr:rowOff>
    </xdr:from>
    <xdr:ext cx="190500" cy="190500"/>
    <xdr:pic>
      <xdr:nvPicPr>
        <xdr:cNvPr id="47" name="image46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115</xdr:row>
      <xdr:rowOff>0</xdr:rowOff>
    </xdr:from>
    <xdr:ext cx="190500" cy="190500"/>
    <xdr:pic>
      <xdr:nvPicPr>
        <xdr:cNvPr id="48" name="image47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117</xdr:row>
      <xdr:rowOff>0</xdr:rowOff>
    </xdr:from>
    <xdr:ext cx="190500" cy="190500"/>
    <xdr:pic>
      <xdr:nvPicPr>
        <xdr:cNvPr id="49" name="image48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119</xdr:row>
      <xdr:rowOff>0</xdr:rowOff>
    </xdr:from>
    <xdr:ext cx="190500" cy="190500"/>
    <xdr:pic>
      <xdr:nvPicPr>
        <xdr:cNvPr id="50" name="image49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121</xdr:row>
      <xdr:rowOff>0</xdr:rowOff>
    </xdr:from>
    <xdr:ext cx="190500" cy="190500"/>
    <xdr:pic>
      <xdr:nvPicPr>
        <xdr:cNvPr id="51" name="image50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123</xdr:row>
      <xdr:rowOff>0</xdr:rowOff>
    </xdr:from>
    <xdr:ext cx="190500" cy="190500"/>
    <xdr:pic>
      <xdr:nvPicPr>
        <xdr:cNvPr id="52" name="image51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125</xdr:row>
      <xdr:rowOff>0</xdr:rowOff>
    </xdr:from>
    <xdr:ext cx="190500" cy="190500"/>
    <xdr:pic>
      <xdr:nvPicPr>
        <xdr:cNvPr id="53" name="image52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127</xdr:row>
      <xdr:rowOff>0</xdr:rowOff>
    </xdr:from>
    <xdr:ext cx="190500" cy="190500"/>
    <xdr:pic>
      <xdr:nvPicPr>
        <xdr:cNvPr id="54" name="image53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129</xdr:row>
      <xdr:rowOff>0</xdr:rowOff>
    </xdr:from>
    <xdr:ext cx="190500" cy="190500"/>
    <xdr:pic>
      <xdr:nvPicPr>
        <xdr:cNvPr id="55" name="image54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131</xdr:row>
      <xdr:rowOff>0</xdr:rowOff>
    </xdr:from>
    <xdr:ext cx="190500" cy="190500"/>
    <xdr:pic>
      <xdr:nvPicPr>
        <xdr:cNvPr id="56" name="image55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133</xdr:row>
      <xdr:rowOff>0</xdr:rowOff>
    </xdr:from>
    <xdr:ext cx="190500" cy="190500"/>
    <xdr:pic>
      <xdr:nvPicPr>
        <xdr:cNvPr id="57" name="image56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135</xdr:row>
      <xdr:rowOff>0</xdr:rowOff>
    </xdr:from>
    <xdr:ext cx="190500" cy="190500"/>
    <xdr:pic>
      <xdr:nvPicPr>
        <xdr:cNvPr id="58" name="image57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137</xdr:row>
      <xdr:rowOff>0</xdr:rowOff>
    </xdr:from>
    <xdr:ext cx="190500" cy="190500"/>
    <xdr:pic>
      <xdr:nvPicPr>
        <xdr:cNvPr id="59" name="image58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139</xdr:row>
      <xdr:rowOff>0</xdr:rowOff>
    </xdr:from>
    <xdr:ext cx="190500" cy="190500"/>
    <xdr:pic>
      <xdr:nvPicPr>
        <xdr:cNvPr id="60" name="image59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141</xdr:row>
      <xdr:rowOff>0</xdr:rowOff>
    </xdr:from>
    <xdr:ext cx="190500" cy="190500"/>
    <xdr:pic>
      <xdr:nvPicPr>
        <xdr:cNvPr id="61" name="image60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143</xdr:row>
      <xdr:rowOff>0</xdr:rowOff>
    </xdr:from>
    <xdr:ext cx="190500" cy="190500"/>
    <xdr:pic>
      <xdr:nvPicPr>
        <xdr:cNvPr id="62" name="image61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145</xdr:row>
      <xdr:rowOff>0</xdr:rowOff>
    </xdr:from>
    <xdr:ext cx="190500" cy="190500"/>
    <xdr:pic>
      <xdr:nvPicPr>
        <xdr:cNvPr id="63" name="image62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147</xdr:row>
      <xdr:rowOff>0</xdr:rowOff>
    </xdr:from>
    <xdr:ext cx="190500" cy="190500"/>
    <xdr:pic>
      <xdr:nvPicPr>
        <xdr:cNvPr id="64" name="image63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149</xdr:row>
      <xdr:rowOff>0</xdr:rowOff>
    </xdr:from>
    <xdr:ext cx="190500" cy="190500"/>
    <xdr:pic>
      <xdr:nvPicPr>
        <xdr:cNvPr id="65" name="image64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151</xdr:row>
      <xdr:rowOff>0</xdr:rowOff>
    </xdr:from>
    <xdr:ext cx="190500" cy="190500"/>
    <xdr:pic>
      <xdr:nvPicPr>
        <xdr:cNvPr id="66" name="image65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153</xdr:row>
      <xdr:rowOff>0</xdr:rowOff>
    </xdr:from>
    <xdr:ext cx="190500" cy="190500"/>
    <xdr:pic>
      <xdr:nvPicPr>
        <xdr:cNvPr id="67" name="image66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155</xdr:row>
      <xdr:rowOff>0</xdr:rowOff>
    </xdr:from>
    <xdr:ext cx="190500" cy="190500"/>
    <xdr:pic>
      <xdr:nvPicPr>
        <xdr:cNvPr id="68" name="image67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157</xdr:row>
      <xdr:rowOff>0</xdr:rowOff>
    </xdr:from>
    <xdr:ext cx="190500" cy="190500"/>
    <xdr:pic>
      <xdr:nvPicPr>
        <xdr:cNvPr id="69" name="image68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159</xdr:row>
      <xdr:rowOff>0</xdr:rowOff>
    </xdr:from>
    <xdr:ext cx="190500" cy="190500"/>
    <xdr:pic>
      <xdr:nvPicPr>
        <xdr:cNvPr id="70" name="image69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161</xdr:row>
      <xdr:rowOff>0</xdr:rowOff>
    </xdr:from>
    <xdr:ext cx="190500" cy="190500"/>
    <xdr:pic>
      <xdr:nvPicPr>
        <xdr:cNvPr id="71" name="image70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163</xdr:row>
      <xdr:rowOff>0</xdr:rowOff>
    </xdr:from>
    <xdr:ext cx="190500" cy="190500"/>
    <xdr:pic>
      <xdr:nvPicPr>
        <xdr:cNvPr id="72" name="image71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165</xdr:row>
      <xdr:rowOff>0</xdr:rowOff>
    </xdr:from>
    <xdr:ext cx="190500" cy="190500"/>
    <xdr:pic>
      <xdr:nvPicPr>
        <xdr:cNvPr id="73" name="image72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167</xdr:row>
      <xdr:rowOff>0</xdr:rowOff>
    </xdr:from>
    <xdr:ext cx="190500" cy="190500"/>
    <xdr:pic>
      <xdr:nvPicPr>
        <xdr:cNvPr id="74" name="image73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169</xdr:row>
      <xdr:rowOff>0</xdr:rowOff>
    </xdr:from>
    <xdr:ext cx="190500" cy="190500"/>
    <xdr:pic>
      <xdr:nvPicPr>
        <xdr:cNvPr id="75" name="image74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171</xdr:row>
      <xdr:rowOff>0</xdr:rowOff>
    </xdr:from>
    <xdr:ext cx="190500" cy="190500"/>
    <xdr:pic>
      <xdr:nvPicPr>
        <xdr:cNvPr id="76" name="image75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173</xdr:row>
      <xdr:rowOff>0</xdr:rowOff>
    </xdr:from>
    <xdr:ext cx="190500" cy="190500"/>
    <xdr:pic>
      <xdr:nvPicPr>
        <xdr:cNvPr id="77" name="image76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175</xdr:row>
      <xdr:rowOff>0</xdr:rowOff>
    </xdr:from>
    <xdr:ext cx="190500" cy="190500"/>
    <xdr:pic>
      <xdr:nvPicPr>
        <xdr:cNvPr id="78" name="image77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177</xdr:row>
      <xdr:rowOff>0</xdr:rowOff>
    </xdr:from>
    <xdr:ext cx="190500" cy="190500"/>
    <xdr:pic>
      <xdr:nvPicPr>
        <xdr:cNvPr id="79" name="image78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179</xdr:row>
      <xdr:rowOff>0</xdr:rowOff>
    </xdr:from>
    <xdr:ext cx="190500" cy="190500"/>
    <xdr:pic>
      <xdr:nvPicPr>
        <xdr:cNvPr id="80" name="image79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181</xdr:row>
      <xdr:rowOff>0</xdr:rowOff>
    </xdr:from>
    <xdr:ext cx="190500" cy="190500"/>
    <xdr:pic>
      <xdr:nvPicPr>
        <xdr:cNvPr id="81" name="image80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183</xdr:row>
      <xdr:rowOff>0</xdr:rowOff>
    </xdr:from>
    <xdr:ext cx="190500" cy="190500"/>
    <xdr:pic>
      <xdr:nvPicPr>
        <xdr:cNvPr id="82" name="image81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185</xdr:row>
      <xdr:rowOff>0</xdr:rowOff>
    </xdr:from>
    <xdr:ext cx="190500" cy="190500"/>
    <xdr:pic>
      <xdr:nvPicPr>
        <xdr:cNvPr id="83" name="image82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187</xdr:row>
      <xdr:rowOff>0</xdr:rowOff>
    </xdr:from>
    <xdr:ext cx="190500" cy="190500"/>
    <xdr:pic>
      <xdr:nvPicPr>
        <xdr:cNvPr id="84" name="image83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189</xdr:row>
      <xdr:rowOff>0</xdr:rowOff>
    </xdr:from>
    <xdr:ext cx="190500" cy="190500"/>
    <xdr:pic>
      <xdr:nvPicPr>
        <xdr:cNvPr id="85" name="image84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191</xdr:row>
      <xdr:rowOff>0</xdr:rowOff>
    </xdr:from>
    <xdr:ext cx="190500" cy="190500"/>
    <xdr:pic>
      <xdr:nvPicPr>
        <xdr:cNvPr id="86" name="image85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193</xdr:row>
      <xdr:rowOff>0</xdr:rowOff>
    </xdr:from>
    <xdr:ext cx="190500" cy="190500"/>
    <xdr:pic>
      <xdr:nvPicPr>
        <xdr:cNvPr id="87" name="image86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195</xdr:row>
      <xdr:rowOff>0</xdr:rowOff>
    </xdr:from>
    <xdr:ext cx="190500" cy="190500"/>
    <xdr:pic>
      <xdr:nvPicPr>
        <xdr:cNvPr id="88" name="image87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197</xdr:row>
      <xdr:rowOff>0</xdr:rowOff>
    </xdr:from>
    <xdr:ext cx="190500" cy="190500"/>
    <xdr:pic>
      <xdr:nvPicPr>
        <xdr:cNvPr id="89" name="image88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199</xdr:row>
      <xdr:rowOff>0</xdr:rowOff>
    </xdr:from>
    <xdr:ext cx="190500" cy="190500"/>
    <xdr:pic>
      <xdr:nvPicPr>
        <xdr:cNvPr id="90" name="image89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201</xdr:row>
      <xdr:rowOff>0</xdr:rowOff>
    </xdr:from>
    <xdr:ext cx="190500" cy="190500"/>
    <xdr:pic>
      <xdr:nvPicPr>
        <xdr:cNvPr id="91" name="image90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203</xdr:row>
      <xdr:rowOff>0</xdr:rowOff>
    </xdr:from>
    <xdr:ext cx="190500" cy="190500"/>
    <xdr:pic>
      <xdr:nvPicPr>
        <xdr:cNvPr id="92" name="image91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205</xdr:row>
      <xdr:rowOff>0</xdr:rowOff>
    </xdr:from>
    <xdr:ext cx="190500" cy="190500"/>
    <xdr:pic>
      <xdr:nvPicPr>
        <xdr:cNvPr id="93" name="image92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207</xdr:row>
      <xdr:rowOff>0</xdr:rowOff>
    </xdr:from>
    <xdr:ext cx="190500" cy="190500"/>
    <xdr:pic>
      <xdr:nvPicPr>
        <xdr:cNvPr id="94" name="image93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209</xdr:row>
      <xdr:rowOff>0</xdr:rowOff>
    </xdr:from>
    <xdr:ext cx="190500" cy="190500"/>
    <xdr:pic>
      <xdr:nvPicPr>
        <xdr:cNvPr id="95" name="image94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211</xdr:row>
      <xdr:rowOff>0</xdr:rowOff>
    </xdr:from>
    <xdr:ext cx="190500" cy="190500"/>
    <xdr:pic>
      <xdr:nvPicPr>
        <xdr:cNvPr id="96" name="image95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213</xdr:row>
      <xdr:rowOff>0</xdr:rowOff>
    </xdr:from>
    <xdr:ext cx="190500" cy="190500"/>
    <xdr:pic>
      <xdr:nvPicPr>
        <xdr:cNvPr id="97" name="image96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215</xdr:row>
      <xdr:rowOff>0</xdr:rowOff>
    </xdr:from>
    <xdr:ext cx="190500" cy="190500"/>
    <xdr:pic>
      <xdr:nvPicPr>
        <xdr:cNvPr id="98" name="image97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217</xdr:row>
      <xdr:rowOff>0</xdr:rowOff>
    </xdr:from>
    <xdr:ext cx="190500" cy="190500"/>
    <xdr:pic>
      <xdr:nvPicPr>
        <xdr:cNvPr id="99" name="image98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219</xdr:row>
      <xdr:rowOff>0</xdr:rowOff>
    </xdr:from>
    <xdr:ext cx="190500" cy="190500"/>
    <xdr:pic>
      <xdr:nvPicPr>
        <xdr:cNvPr id="100" name="image99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221</xdr:row>
      <xdr:rowOff>0</xdr:rowOff>
    </xdr:from>
    <xdr:ext cx="180975" cy="180975"/>
    <xdr:pic>
      <xdr:nvPicPr>
        <xdr:cNvPr id="101" name="image100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66675</xdr:rowOff>
    </xdr:from>
    <xdr:ext cx="1905000" cy="1171575"/>
    <xdr:pic>
      <xdr:nvPicPr>
        <xdr:cNvPr id="2" name="image103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57150</xdr:rowOff>
    </xdr:from>
    <xdr:ext cx="2667000" cy="1485900"/>
    <xdr:pic>
      <xdr:nvPicPr>
        <xdr:cNvPr id="2" name="image1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38100</xdr:rowOff>
    </xdr:from>
    <xdr:ext cx="1590675" cy="1276350"/>
    <xdr:pic>
      <xdr:nvPicPr>
        <xdr:cNvPr id="2" name="image105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186421</xdr:colOff>
      <xdr:row>1</xdr:row>
      <xdr:rowOff>127907</xdr:rowOff>
    </xdr:from>
    <xdr:ext cx="2466975" cy="1771650"/>
    <xdr:pic>
      <xdr:nvPicPr>
        <xdr:cNvPr id="2" name="image107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8" y="318407"/>
          <a:ext cx="2466975" cy="1771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180975</xdr:rowOff>
    </xdr:from>
    <xdr:ext cx="1495425" cy="1000125"/>
    <xdr:pic>
      <xdr:nvPicPr>
        <xdr:cNvPr id="2" name="image109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27</xdr:row>
      <xdr:rowOff>57150</xdr:rowOff>
    </xdr:from>
    <xdr:ext cx="3352800" cy="45720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93568" y="5561055"/>
          <a:ext cx="3359182" cy="459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endParaRPr lang="pt-BR" sz="1100" b="1"/>
        </a:p>
      </xdr:txBody>
    </xdr:sp>
    <xdr:clientData fLocksWithSheet="0"/>
  </xdr:oneCellAnchor>
  <xdr:oneCellAnchor>
    <xdr:from>
      <xdr:col>1</xdr:col>
      <xdr:colOff>352425</xdr:colOff>
      <xdr:row>2</xdr:row>
      <xdr:rowOff>0</xdr:rowOff>
    </xdr:from>
    <xdr:ext cx="257175" cy="0"/>
    <xdr:pic>
      <xdr:nvPicPr>
        <xdr:cNvPr id="2" name="image11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13</xdr:row>
      <xdr:rowOff>238125</xdr:rowOff>
    </xdr:from>
    <xdr:ext cx="676275" cy="0"/>
    <xdr:pic>
      <xdr:nvPicPr>
        <xdr:cNvPr id="3" name="image11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</xdr:row>
      <xdr:rowOff>152400</xdr:rowOff>
    </xdr:from>
    <xdr:ext cx="2009775" cy="962025"/>
    <xdr:pic>
      <xdr:nvPicPr>
        <xdr:cNvPr id="5" name="image113.jp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74541</xdr:rowOff>
    </xdr:from>
    <xdr:to>
      <xdr:col>2</xdr:col>
      <xdr:colOff>611065</xdr:colOff>
      <xdr:row>6</xdr:row>
      <xdr:rowOff>76200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65066"/>
          <a:ext cx="1544515" cy="114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76200</xdr:rowOff>
    </xdr:from>
    <xdr:ext cx="1685925" cy="1209675"/>
    <xdr:pic>
      <xdr:nvPicPr>
        <xdr:cNvPr id="2" name="image117.jpg">
          <a:extLst>
            <a:ext uri="{FF2B5EF4-FFF2-40B4-BE49-F238E27FC236}">
              <a16:creationId xmlns:a16="http://schemas.microsoft.com/office/drawing/2014/main" id="{E1F02A3A-FC05-4F63-81A2-0088F0B2BE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76200"/>
          <a:ext cx="1685925" cy="1209675"/>
        </a:xfrm>
        <a:prstGeom prst="rect">
          <a:avLst/>
        </a:prstGeom>
        <a:noFill/>
      </xdr:spPr>
    </xdr:pic>
    <xdr:clientData fLocksWithSheet="0"/>
  </xdr:oneCellAnchor>
  <xdr:twoCellAnchor>
    <xdr:from>
      <xdr:col>14</xdr:col>
      <xdr:colOff>850008</xdr:colOff>
      <xdr:row>14</xdr:row>
      <xdr:rowOff>285387</xdr:rowOff>
    </xdr:from>
    <xdr:to>
      <xdr:col>22</xdr:col>
      <xdr:colOff>227318</xdr:colOff>
      <xdr:row>23</xdr:row>
      <xdr:rowOff>133234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AA70B5-E646-4D2F-AD3F-E7D3D1C67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workbookViewId="0"/>
  </sheetViews>
  <sheetFormatPr defaultColWidth="14.42578125" defaultRowHeight="15" customHeight="1"/>
  <cols>
    <col min="1" max="1" width="23.5703125" customWidth="1"/>
    <col min="2" max="2" width="14" customWidth="1"/>
    <col min="3" max="11" width="8.7109375" customWidth="1"/>
  </cols>
  <sheetData>
    <row r="1" spans="1:2" ht="14.25" customHeight="1">
      <c r="A1" s="1" t="s">
        <v>0</v>
      </c>
    </row>
    <row r="2" spans="1:2" ht="14.25" customHeight="1"/>
    <row r="3" spans="1:2" ht="19.5" customHeight="1">
      <c r="A3" s="2" t="s">
        <v>1</v>
      </c>
      <c r="B3" s="2" t="s">
        <v>2</v>
      </c>
    </row>
    <row r="4" spans="1:2" ht="15" customHeight="1">
      <c r="A4" t="s">
        <v>3</v>
      </c>
      <c r="B4" s="3">
        <v>104047</v>
      </c>
    </row>
    <row r="5" spans="1:2" ht="14.25" customHeight="1">
      <c r="A5" t="s">
        <v>4</v>
      </c>
      <c r="B5" s="3">
        <v>5905</v>
      </c>
    </row>
    <row r="6" spans="1:2" ht="15" customHeight="1">
      <c r="A6" t="s">
        <v>5</v>
      </c>
      <c r="B6" s="3">
        <v>11581</v>
      </c>
    </row>
    <row r="7" spans="1:2" ht="14.25" customHeight="1">
      <c r="A7" t="s">
        <v>6</v>
      </c>
      <c r="B7" s="3">
        <v>21851</v>
      </c>
    </row>
    <row r="8" spans="1:2" ht="15" customHeight="1">
      <c r="A8" t="s">
        <v>7</v>
      </c>
      <c r="B8" s="3">
        <v>23952</v>
      </c>
    </row>
    <row r="9" spans="1:2" ht="15" customHeight="1">
      <c r="A9" t="s">
        <v>8</v>
      </c>
      <c r="B9" s="3">
        <v>11063</v>
      </c>
    </row>
    <row r="10" spans="1:2" ht="15" customHeight="1">
      <c r="A10" t="s">
        <v>9</v>
      </c>
      <c r="B10" s="3">
        <v>24599</v>
      </c>
    </row>
    <row r="11" spans="1:2" ht="15" customHeight="1">
      <c r="A11" t="s">
        <v>10</v>
      </c>
      <c r="B11" s="3">
        <v>31057</v>
      </c>
    </row>
    <row r="12" spans="1:2" ht="15" customHeight="1">
      <c r="A12" t="s">
        <v>11</v>
      </c>
      <c r="B12" s="3">
        <v>10766</v>
      </c>
    </row>
    <row r="13" spans="1:2" ht="15" customHeight="1">
      <c r="A13" t="s">
        <v>12</v>
      </c>
      <c r="B13" s="3">
        <v>6431</v>
      </c>
    </row>
    <row r="14" spans="1:2" ht="15" customHeight="1">
      <c r="A14" t="s">
        <v>13</v>
      </c>
      <c r="B14" s="3">
        <v>37932</v>
      </c>
    </row>
    <row r="15" spans="1:2" ht="15" customHeight="1">
      <c r="A15" t="s">
        <v>14</v>
      </c>
      <c r="B15" s="3">
        <v>25291</v>
      </c>
    </row>
    <row r="16" spans="1:2" ht="15" customHeight="1">
      <c r="A16" t="s">
        <v>15</v>
      </c>
      <c r="B16" s="3">
        <v>13939</v>
      </c>
    </row>
    <row r="17" spans="1:2" ht="15" customHeight="1">
      <c r="A17" t="s">
        <v>16</v>
      </c>
      <c r="B17" s="3">
        <v>14959</v>
      </c>
    </row>
    <row r="18" spans="1:2" ht="15" customHeight="1">
      <c r="A18" t="s">
        <v>17</v>
      </c>
      <c r="B18" s="3">
        <v>13973</v>
      </c>
    </row>
    <row r="19" spans="1:2" ht="15" customHeight="1">
      <c r="A19" t="s">
        <v>18</v>
      </c>
      <c r="B19" s="3">
        <v>42505</v>
      </c>
    </row>
    <row r="20" spans="1:2" ht="15" customHeight="1">
      <c r="A20" t="s">
        <v>19</v>
      </c>
      <c r="B20" s="3">
        <v>31702</v>
      </c>
    </row>
    <row r="21" spans="1:2" ht="15" customHeight="1">
      <c r="A21" t="s">
        <v>20</v>
      </c>
      <c r="B21" s="3">
        <v>28488</v>
      </c>
    </row>
    <row r="22" spans="1:2" ht="15" customHeight="1">
      <c r="A22" t="s">
        <v>21</v>
      </c>
      <c r="B22" s="3">
        <v>11407</v>
      </c>
    </row>
    <row r="23" spans="1:2" ht="15" customHeight="1">
      <c r="A23" t="s">
        <v>22</v>
      </c>
      <c r="B23" s="3">
        <v>100014</v>
      </c>
    </row>
    <row r="24" spans="1:2" ht="15" customHeight="1">
      <c r="A24" t="s">
        <v>23</v>
      </c>
      <c r="B24" s="3">
        <v>14925</v>
      </c>
    </row>
    <row r="25" spans="1:2" ht="15" customHeight="1">
      <c r="A25" t="s">
        <v>24</v>
      </c>
      <c r="B25" s="3">
        <v>16604</v>
      </c>
    </row>
    <row r="26" spans="1:2" ht="15" customHeight="1">
      <c r="A26" t="s">
        <v>25</v>
      </c>
      <c r="B26" s="3">
        <v>5293</v>
      </c>
    </row>
    <row r="27" spans="1:2" ht="15" customHeight="1">
      <c r="A27" t="s">
        <v>26</v>
      </c>
      <c r="B27" s="3">
        <v>83528</v>
      </c>
    </row>
    <row r="28" spans="1:2" ht="15" customHeight="1">
      <c r="A28" t="s">
        <v>27</v>
      </c>
      <c r="B28" s="3">
        <v>17841</v>
      </c>
    </row>
    <row r="29" spans="1:2" ht="15" customHeight="1">
      <c r="A29" t="s">
        <v>28</v>
      </c>
      <c r="B29" s="3">
        <v>82830</v>
      </c>
    </row>
    <row r="30" spans="1:2" ht="15" customHeight="1">
      <c r="A30" t="s">
        <v>29</v>
      </c>
      <c r="B30" s="3">
        <v>54930</v>
      </c>
    </row>
    <row r="31" spans="1:2" ht="15" customHeight="1">
      <c r="A31" t="s">
        <v>30</v>
      </c>
      <c r="B31" s="3">
        <v>12049</v>
      </c>
    </row>
    <row r="32" spans="1:2" ht="15" customHeight="1">
      <c r="A32" t="s">
        <v>31</v>
      </c>
      <c r="B32" s="3">
        <v>6524</v>
      </c>
    </row>
    <row r="33" spans="1:2" ht="15" customHeight="1">
      <c r="A33" t="s">
        <v>32</v>
      </c>
      <c r="B33" s="3">
        <v>5469</v>
      </c>
    </row>
    <row r="34" spans="1:2" ht="15" customHeight="1">
      <c r="A34" t="s">
        <v>33</v>
      </c>
      <c r="B34" s="3">
        <v>20344</v>
      </c>
    </row>
    <row r="35" spans="1:2" ht="15" customHeight="1">
      <c r="A35" t="s">
        <v>34</v>
      </c>
      <c r="B35" s="3">
        <v>5996</v>
      </c>
    </row>
    <row r="36" spans="1:2" ht="15" customHeight="1">
      <c r="A36" t="s">
        <v>35</v>
      </c>
      <c r="B36" s="3">
        <v>7949</v>
      </c>
    </row>
    <row r="37" spans="1:2" ht="15" customHeight="1">
      <c r="A37" t="s">
        <v>36</v>
      </c>
      <c r="B37" s="3">
        <v>39049</v>
      </c>
    </row>
    <row r="38" spans="1:2" ht="15" customHeight="1">
      <c r="A38" t="s">
        <v>37</v>
      </c>
      <c r="B38" s="3">
        <v>28459</v>
      </c>
    </row>
    <row r="39" spans="1:2" ht="15" customHeight="1">
      <c r="A39" t="s">
        <v>38</v>
      </c>
      <c r="B39" s="3">
        <v>14818</v>
      </c>
    </row>
    <row r="40" spans="1:2" ht="15" customHeight="1">
      <c r="A40" t="s">
        <v>39</v>
      </c>
      <c r="B40" s="3">
        <v>33359</v>
      </c>
    </row>
    <row r="41" spans="1:2" ht="15" customHeight="1">
      <c r="A41" t="s">
        <v>40</v>
      </c>
      <c r="B41" s="3">
        <v>5577</v>
      </c>
    </row>
    <row r="42" spans="1:2" ht="15" customHeight="1">
      <c r="A42" t="s">
        <v>41</v>
      </c>
      <c r="B42" s="3">
        <v>27013</v>
      </c>
    </row>
    <row r="43" spans="1:2" ht="15" customHeight="1">
      <c r="A43" t="s">
        <v>42</v>
      </c>
      <c r="B43" s="3">
        <v>22899</v>
      </c>
    </row>
    <row r="44" spans="1:2" ht="15" customHeight="1">
      <c r="A44" t="s">
        <v>43</v>
      </c>
      <c r="B44" s="3">
        <v>65237</v>
      </c>
    </row>
    <row r="45" spans="1:2" ht="15" customHeight="1">
      <c r="A45" t="s">
        <v>44</v>
      </c>
      <c r="B45" s="3">
        <v>14784</v>
      </c>
    </row>
    <row r="46" spans="1:2" ht="15" customHeight="1">
      <c r="A46" t="s">
        <v>45</v>
      </c>
      <c r="B46" s="3">
        <v>8446</v>
      </c>
    </row>
    <row r="47" spans="1:2" ht="15" customHeight="1">
      <c r="A47" t="s">
        <v>46</v>
      </c>
      <c r="B47" s="3">
        <v>10593</v>
      </c>
    </row>
    <row r="48" spans="1:2" ht="15" customHeight="1">
      <c r="A48" t="s">
        <v>47</v>
      </c>
      <c r="B48" s="3">
        <v>18338</v>
      </c>
    </row>
    <row r="49" spans="1:2" ht="15" customHeight="1">
      <c r="A49" t="s">
        <v>48</v>
      </c>
      <c r="B49" s="3">
        <v>13369</v>
      </c>
    </row>
    <row r="50" spans="1:2" ht="15" customHeight="1">
      <c r="A50" t="s">
        <v>49</v>
      </c>
      <c r="B50" s="3">
        <v>18505</v>
      </c>
    </row>
    <row r="51" spans="1:2" ht="15" customHeight="1">
      <c r="A51" t="s">
        <v>50</v>
      </c>
      <c r="B51" s="3">
        <v>20448</v>
      </c>
    </row>
    <row r="52" spans="1:2" ht="15" customHeight="1">
      <c r="A52" t="s">
        <v>51</v>
      </c>
      <c r="B52" s="3">
        <v>10698</v>
      </c>
    </row>
    <row r="53" spans="1:2" ht="15" customHeight="1">
      <c r="A53" t="s">
        <v>52</v>
      </c>
      <c r="B53" s="3">
        <v>23959</v>
      </c>
    </row>
    <row r="54" spans="1:2" ht="15" customHeight="1">
      <c r="A54" t="s">
        <v>53</v>
      </c>
      <c r="B54" s="3">
        <v>22006</v>
      </c>
    </row>
    <row r="55" spans="1:2" ht="15" customHeight="1">
      <c r="A55" t="s">
        <v>54</v>
      </c>
      <c r="B55" s="3">
        <v>155129</v>
      </c>
    </row>
    <row r="56" spans="1:2" ht="15" customHeight="1">
      <c r="A56" t="s">
        <v>55</v>
      </c>
      <c r="B56" s="3">
        <v>10297</v>
      </c>
    </row>
    <row r="57" spans="1:2" ht="15" customHeight="1">
      <c r="A57" t="s">
        <v>56</v>
      </c>
      <c r="B57" s="3">
        <v>7887</v>
      </c>
    </row>
    <row r="58" spans="1:2" ht="15" customHeight="1">
      <c r="A58" t="s">
        <v>57</v>
      </c>
      <c r="B58" s="3">
        <v>12565</v>
      </c>
    </row>
    <row r="59" spans="1:2" ht="15" customHeight="1">
      <c r="A59" t="s">
        <v>58</v>
      </c>
      <c r="B59" s="3">
        <v>17622</v>
      </c>
    </row>
    <row r="60" spans="1:2" ht="15" customHeight="1">
      <c r="A60" t="s">
        <v>59</v>
      </c>
      <c r="B60" s="3">
        <v>73350</v>
      </c>
    </row>
    <row r="61" spans="1:2" ht="15" customHeight="1">
      <c r="A61" t="s">
        <v>60</v>
      </c>
      <c r="B61" s="3">
        <v>13681</v>
      </c>
    </row>
    <row r="62" spans="1:2" ht="15" customHeight="1">
      <c r="A62" t="s">
        <v>61</v>
      </c>
      <c r="B62" s="3">
        <v>118038</v>
      </c>
    </row>
    <row r="63" spans="1:2" ht="15" customHeight="1">
      <c r="A63" t="s">
        <v>62</v>
      </c>
      <c r="B63" s="3">
        <v>46750</v>
      </c>
    </row>
    <row r="64" spans="1:2" ht="15" customHeight="1">
      <c r="A64" t="s">
        <v>63</v>
      </c>
      <c r="B64" s="3">
        <v>39132</v>
      </c>
    </row>
    <row r="65" spans="1:2" ht="15" customHeight="1">
      <c r="A65" t="s">
        <v>64</v>
      </c>
      <c r="B65" s="3">
        <v>14436</v>
      </c>
    </row>
    <row r="66" spans="1:2" ht="15" customHeight="1">
      <c r="A66" t="s">
        <v>65</v>
      </c>
      <c r="B66" s="3">
        <v>61725</v>
      </c>
    </row>
    <row r="67" spans="1:2" ht="15" customHeight="1">
      <c r="A67" t="s">
        <v>66</v>
      </c>
      <c r="B67" s="3">
        <v>32652</v>
      </c>
    </row>
    <row r="68" spans="1:2" ht="15" customHeight="1">
      <c r="A68" t="s">
        <v>67</v>
      </c>
      <c r="B68" s="3">
        <v>12579</v>
      </c>
    </row>
    <row r="69" spans="1:2" ht="15" customHeight="1">
      <c r="A69" t="s">
        <v>68</v>
      </c>
      <c r="B69" s="3">
        <v>22681</v>
      </c>
    </row>
    <row r="70" spans="1:2" ht="15" customHeight="1">
      <c r="A70" t="s">
        <v>69</v>
      </c>
      <c r="B70" s="3">
        <v>10649</v>
      </c>
    </row>
    <row r="71" spans="1:2" ht="15" customHeight="1">
      <c r="A71" t="s">
        <v>70</v>
      </c>
      <c r="B71" s="3">
        <v>18452</v>
      </c>
    </row>
    <row r="72" spans="1:2" ht="15" customHeight="1">
      <c r="A72" t="s">
        <v>71</v>
      </c>
      <c r="B72" s="3">
        <v>35835</v>
      </c>
    </row>
    <row r="73" spans="1:2" ht="15" customHeight="1">
      <c r="A73" t="s">
        <v>72</v>
      </c>
      <c r="B73" s="3">
        <v>8126</v>
      </c>
    </row>
    <row r="74" spans="1:2" ht="15" customHeight="1">
      <c r="A74" t="s">
        <v>73</v>
      </c>
      <c r="B74" s="3">
        <v>9241</v>
      </c>
    </row>
    <row r="75" spans="1:2" ht="15" customHeight="1">
      <c r="A75" t="s">
        <v>74</v>
      </c>
      <c r="B75" s="3">
        <v>17757</v>
      </c>
    </row>
    <row r="76" spans="1:2" ht="15" customHeight="1">
      <c r="A76" t="s">
        <v>75</v>
      </c>
      <c r="B76" s="3">
        <v>11646</v>
      </c>
    </row>
    <row r="77" spans="1:2" ht="15" customHeight="1">
      <c r="A77" t="s">
        <v>76</v>
      </c>
      <c r="B77" s="3">
        <v>15098</v>
      </c>
    </row>
    <row r="78" spans="1:2" ht="15" customHeight="1">
      <c r="A78" t="s">
        <v>77</v>
      </c>
      <c r="B78" s="3">
        <v>10635</v>
      </c>
    </row>
    <row r="79" spans="1:2" ht="15" customHeight="1">
      <c r="A79" t="s">
        <v>78</v>
      </c>
      <c r="B79" s="3">
        <v>17482</v>
      </c>
    </row>
    <row r="80" spans="1:2" ht="15" customHeight="1">
      <c r="A80" t="s">
        <v>79</v>
      </c>
      <c r="B80" s="3">
        <v>10205</v>
      </c>
    </row>
    <row r="81" spans="1:2" ht="15" customHeight="1">
      <c r="A81" t="s">
        <v>80</v>
      </c>
      <c r="B81" s="3">
        <v>15895</v>
      </c>
    </row>
    <row r="82" spans="1:2" ht="15" customHeight="1">
      <c r="A82" t="s">
        <v>81</v>
      </c>
      <c r="B82" s="3">
        <v>15991</v>
      </c>
    </row>
    <row r="83" spans="1:2" ht="15" customHeight="1">
      <c r="A83" t="s">
        <v>82</v>
      </c>
      <c r="B83" s="3">
        <v>7337</v>
      </c>
    </row>
    <row r="84" spans="1:2" ht="15" customHeight="1">
      <c r="A84" t="s">
        <v>83</v>
      </c>
      <c r="B84" s="3">
        <v>11921</v>
      </c>
    </row>
    <row r="85" spans="1:2" ht="15" customHeight="1">
      <c r="A85" t="s">
        <v>84</v>
      </c>
      <c r="B85" s="3">
        <v>25401</v>
      </c>
    </row>
    <row r="86" spans="1:2" ht="15" customHeight="1">
      <c r="A86" t="s">
        <v>85</v>
      </c>
      <c r="B86" s="3">
        <v>6140</v>
      </c>
    </row>
    <row r="87" spans="1:2" ht="15" customHeight="1">
      <c r="A87" t="s">
        <v>86</v>
      </c>
      <c r="B87" s="3">
        <v>62093</v>
      </c>
    </row>
    <row r="88" spans="1:2" ht="15" customHeight="1">
      <c r="A88" t="s">
        <v>87</v>
      </c>
      <c r="B88" s="3">
        <v>12081</v>
      </c>
    </row>
    <row r="89" spans="1:2" ht="15" customHeight="1">
      <c r="A89" t="s">
        <v>88</v>
      </c>
      <c r="B89" s="3">
        <v>26189</v>
      </c>
    </row>
    <row r="90" spans="1:2" ht="15" customHeight="1">
      <c r="A90" t="s">
        <v>89</v>
      </c>
      <c r="B90" s="3">
        <v>25145</v>
      </c>
    </row>
    <row r="91" spans="1:2" ht="15" customHeight="1">
      <c r="A91" t="s">
        <v>90</v>
      </c>
      <c r="B91" s="3">
        <v>12550</v>
      </c>
    </row>
    <row r="92" spans="1:2" ht="15" customHeight="1">
      <c r="A92" t="s">
        <v>91</v>
      </c>
      <c r="B92" s="3">
        <v>11041</v>
      </c>
    </row>
    <row r="93" spans="1:2" ht="15" customHeight="1">
      <c r="A93" t="s">
        <v>92</v>
      </c>
      <c r="B93" s="3">
        <v>247505</v>
      </c>
    </row>
    <row r="94" spans="1:2" ht="15" customHeight="1">
      <c r="A94" t="s">
        <v>93</v>
      </c>
      <c r="B94" s="3">
        <v>14297</v>
      </c>
    </row>
    <row r="95" spans="1:2" ht="15" customHeight="1">
      <c r="A95" t="s">
        <v>94</v>
      </c>
      <c r="B95" s="3">
        <v>62110</v>
      </c>
    </row>
    <row r="96" spans="1:2" ht="15" customHeight="1">
      <c r="A96" t="s">
        <v>95</v>
      </c>
      <c r="B96" s="3">
        <v>24863</v>
      </c>
    </row>
    <row r="97" spans="1:2" ht="15" customHeight="1">
      <c r="A97" t="s">
        <v>96</v>
      </c>
      <c r="B97" s="3">
        <v>8526</v>
      </c>
    </row>
    <row r="98" spans="1:2" ht="15" customHeight="1">
      <c r="A98" t="s">
        <v>97</v>
      </c>
      <c r="B98" s="3">
        <v>15440</v>
      </c>
    </row>
    <row r="99" spans="1:2" ht="15" customHeight="1">
      <c r="A99" t="s">
        <v>98</v>
      </c>
      <c r="B99" s="3">
        <v>20381</v>
      </c>
    </row>
    <row r="100" spans="1:2" ht="15" customHeight="1">
      <c r="A100" t="s">
        <v>99</v>
      </c>
      <c r="B100" s="3">
        <v>15433</v>
      </c>
    </row>
    <row r="101" spans="1:2" ht="15" customHeight="1">
      <c r="A101" t="s">
        <v>100</v>
      </c>
      <c r="B101" s="3">
        <v>4020</v>
      </c>
    </row>
    <row r="102" spans="1:2" ht="15" customHeight="1">
      <c r="A102" t="s">
        <v>101</v>
      </c>
      <c r="B102" s="3">
        <v>46083</v>
      </c>
    </row>
    <row r="103" spans="1:2" ht="15" customHeight="1">
      <c r="A103" t="s">
        <v>102</v>
      </c>
      <c r="B103" s="3">
        <v>10729</v>
      </c>
    </row>
    <row r="104" spans="1:2" ht="15" customHeight="1">
      <c r="A104" t="s">
        <v>103</v>
      </c>
      <c r="B104" s="3">
        <v>7794</v>
      </c>
    </row>
    <row r="105" spans="1:2" ht="15" customHeight="1">
      <c r="A105" t="s">
        <v>104</v>
      </c>
      <c r="B105" s="3">
        <v>15412</v>
      </c>
    </row>
    <row r="106" spans="1:2" ht="15" customHeight="1">
      <c r="A106" t="s">
        <v>105</v>
      </c>
      <c r="B106" s="3">
        <v>10934</v>
      </c>
    </row>
    <row r="107" spans="1:2" ht="15" customHeight="1">
      <c r="A107" t="s">
        <v>106</v>
      </c>
      <c r="B107" s="3">
        <v>10517</v>
      </c>
    </row>
    <row r="108" spans="1:2" ht="15" customHeight="1">
      <c r="A108" t="s">
        <v>107</v>
      </c>
      <c r="B108" s="3">
        <v>6923</v>
      </c>
    </row>
    <row r="109" spans="1:2" ht="15" customHeight="1">
      <c r="A109" t="s">
        <v>108</v>
      </c>
      <c r="B109" s="3">
        <v>11423</v>
      </c>
    </row>
    <row r="110" spans="1:2" ht="15" customHeight="1">
      <c r="A110" t="s">
        <v>109</v>
      </c>
      <c r="B110" s="3">
        <v>11390</v>
      </c>
    </row>
    <row r="111" spans="1:2" ht="15" customHeight="1">
      <c r="A111" t="s">
        <v>110</v>
      </c>
      <c r="B111" s="3">
        <v>6510</v>
      </c>
    </row>
    <row r="112" spans="1:2" ht="15" customHeight="1">
      <c r="A112" t="s">
        <v>111</v>
      </c>
      <c r="B112" s="3">
        <v>17587</v>
      </c>
    </row>
    <row r="113" spans="1:2" ht="15" customHeight="1">
      <c r="A113" t="s">
        <v>112</v>
      </c>
      <c r="B113" s="3">
        <v>19155</v>
      </c>
    </row>
    <row r="114" spans="1:2" ht="15" customHeight="1">
      <c r="A114" t="s">
        <v>113</v>
      </c>
      <c r="B114" s="3">
        <v>8051</v>
      </c>
    </row>
    <row r="115" spans="1:2" ht="15" customHeight="1">
      <c r="A115" t="s">
        <v>114</v>
      </c>
      <c r="B115" s="3">
        <v>14065</v>
      </c>
    </row>
    <row r="116" spans="1:2" ht="15" customHeight="1">
      <c r="A116" t="s">
        <v>115</v>
      </c>
      <c r="B116" s="3">
        <v>15150</v>
      </c>
    </row>
    <row r="117" spans="1:2" ht="15" customHeight="1">
      <c r="A117" t="s">
        <v>116</v>
      </c>
      <c r="B117" s="3">
        <v>21885</v>
      </c>
    </row>
    <row r="118" spans="1:2" ht="15" customHeight="1">
      <c r="A118" t="s">
        <v>117</v>
      </c>
      <c r="B118" s="3">
        <v>31015</v>
      </c>
    </row>
    <row r="119" spans="1:2" ht="15" customHeight="1">
      <c r="A119" t="s">
        <v>118</v>
      </c>
      <c r="B119" s="3">
        <v>13794</v>
      </c>
    </row>
    <row r="120" spans="1:2" ht="15" customHeight="1">
      <c r="A120" t="s">
        <v>119</v>
      </c>
      <c r="B120" s="3">
        <v>8118</v>
      </c>
    </row>
    <row r="121" spans="1:2" ht="15" customHeight="1">
      <c r="A121" t="s">
        <v>120</v>
      </c>
      <c r="B121" s="3">
        <v>20452</v>
      </c>
    </row>
    <row r="122" spans="1:2" ht="15" customHeight="1">
      <c r="A122" t="s">
        <v>121</v>
      </c>
      <c r="B122" s="3">
        <v>24427</v>
      </c>
    </row>
    <row r="123" spans="1:2" ht="15" customHeight="1">
      <c r="A123" t="s">
        <v>122</v>
      </c>
      <c r="B123" s="3">
        <v>14218</v>
      </c>
    </row>
    <row r="124" spans="1:2" ht="15" customHeight="1">
      <c r="A124" t="s">
        <v>123</v>
      </c>
      <c r="B124" s="3">
        <v>31738</v>
      </c>
    </row>
    <row r="125" spans="1:2" ht="15" customHeight="1">
      <c r="A125" t="s">
        <v>124</v>
      </c>
      <c r="B125" s="3">
        <v>9413</v>
      </c>
    </row>
    <row r="126" spans="1:2" ht="15" customHeight="1">
      <c r="A126" t="s">
        <v>125</v>
      </c>
      <c r="B126" s="3">
        <v>17783</v>
      </c>
    </row>
    <row r="127" spans="1:2" ht="15" customHeight="1">
      <c r="A127" t="s">
        <v>126</v>
      </c>
      <c r="B127" s="3">
        <v>12464</v>
      </c>
    </row>
    <row r="128" spans="1:2" ht="15" customHeight="1">
      <c r="A128" t="s">
        <v>127</v>
      </c>
      <c r="B128" s="3">
        <v>4885</v>
      </c>
    </row>
    <row r="129" spans="1:2" ht="15" customHeight="1">
      <c r="A129" t="s">
        <v>128</v>
      </c>
      <c r="B129" s="3">
        <v>4590</v>
      </c>
    </row>
    <row r="130" spans="1:2" ht="15" customHeight="1">
      <c r="A130" t="s">
        <v>129</v>
      </c>
      <c r="B130" s="3">
        <v>19134</v>
      </c>
    </row>
    <row r="131" spans="1:2" ht="15" customHeight="1">
      <c r="A131" t="s">
        <v>130</v>
      </c>
      <c r="B131" s="3">
        <v>18601</v>
      </c>
    </row>
    <row r="132" spans="1:2" ht="15" customHeight="1">
      <c r="A132" t="s">
        <v>131</v>
      </c>
      <c r="B132" s="3">
        <v>13181</v>
      </c>
    </row>
    <row r="133" spans="1:2" ht="15" customHeight="1">
      <c r="A133" t="s">
        <v>132</v>
      </c>
      <c r="B133" s="3">
        <v>105121</v>
      </c>
    </row>
    <row r="134" spans="1:2" ht="15" customHeight="1">
      <c r="A134" t="s">
        <v>133</v>
      </c>
      <c r="B134" s="3">
        <v>18764</v>
      </c>
    </row>
    <row r="135" spans="1:2" ht="15" customHeight="1">
      <c r="A135" t="s">
        <v>134</v>
      </c>
      <c r="B135" s="3">
        <v>20103</v>
      </c>
    </row>
    <row r="136" spans="1:2" ht="15" customHeight="1">
      <c r="A136" t="s">
        <v>135</v>
      </c>
      <c r="B136" s="3">
        <v>34586</v>
      </c>
    </row>
    <row r="137" spans="1:2" ht="15" customHeight="1">
      <c r="A137" t="s">
        <v>136</v>
      </c>
      <c r="B137" s="3">
        <v>17562</v>
      </c>
    </row>
    <row r="138" spans="1:2" ht="15" customHeight="1">
      <c r="A138" t="s">
        <v>137</v>
      </c>
      <c r="B138" s="3">
        <v>18067</v>
      </c>
    </row>
    <row r="139" spans="1:2" ht="15" customHeight="1">
      <c r="A139" t="s">
        <v>138</v>
      </c>
      <c r="B139" s="3">
        <v>14519</v>
      </c>
    </row>
    <row r="140" spans="1:2" ht="15" customHeight="1">
      <c r="A140" t="s">
        <v>139</v>
      </c>
      <c r="B140" s="3">
        <v>20079</v>
      </c>
    </row>
    <row r="141" spans="1:2" ht="15" customHeight="1">
      <c r="A141" t="s">
        <v>140</v>
      </c>
      <c r="B141" s="3">
        <v>39448</v>
      </c>
    </row>
    <row r="142" spans="1:2" ht="15" customHeight="1">
      <c r="A142" t="s">
        <v>141</v>
      </c>
      <c r="B142" s="3">
        <v>22732</v>
      </c>
    </row>
    <row r="143" spans="1:2" ht="15" customHeight="1">
      <c r="A143" t="s">
        <v>142</v>
      </c>
      <c r="B143" s="3">
        <v>34267</v>
      </c>
    </row>
    <row r="144" spans="1:2" ht="15" customHeight="1">
      <c r="A144" t="s">
        <v>143</v>
      </c>
      <c r="B144" s="3">
        <v>13803</v>
      </c>
    </row>
    <row r="145" spans="1:2" ht="15" customHeight="1">
      <c r="A145" t="s">
        <v>144</v>
      </c>
      <c r="B145" s="3">
        <v>21201</v>
      </c>
    </row>
    <row r="146" spans="1:2" ht="15" customHeight="1">
      <c r="A146" t="s">
        <v>145</v>
      </c>
      <c r="B146" s="3">
        <v>31152</v>
      </c>
    </row>
    <row r="147" spans="1:2" ht="15" customHeight="1">
      <c r="A147" t="s">
        <v>146</v>
      </c>
      <c r="B147" s="3">
        <v>78162</v>
      </c>
    </row>
    <row r="148" spans="1:2" ht="15" customHeight="1">
      <c r="A148" t="s">
        <v>147</v>
      </c>
      <c r="B148" s="3">
        <v>22016</v>
      </c>
    </row>
    <row r="149" spans="1:2" ht="15" customHeight="1">
      <c r="A149" t="s">
        <v>148</v>
      </c>
      <c r="B149" s="3">
        <v>17381</v>
      </c>
    </row>
    <row r="150" spans="1:2" ht="15" customHeight="1">
      <c r="A150" t="s">
        <v>149</v>
      </c>
      <c r="B150" s="3">
        <v>19708</v>
      </c>
    </row>
    <row r="151" spans="1:2" ht="15" customHeight="1">
      <c r="A151" t="s">
        <v>150</v>
      </c>
      <c r="B151" s="3">
        <v>21530</v>
      </c>
    </row>
    <row r="152" spans="1:2" ht="15" customHeight="1">
      <c r="A152" t="s">
        <v>151</v>
      </c>
      <c r="B152" s="3">
        <v>6030</v>
      </c>
    </row>
    <row r="153" spans="1:2" ht="15" customHeight="1">
      <c r="A153" t="s">
        <v>152</v>
      </c>
      <c r="B153" s="3">
        <v>44731</v>
      </c>
    </row>
    <row r="154" spans="1:2" ht="15" customHeight="1">
      <c r="A154" t="s">
        <v>153</v>
      </c>
      <c r="B154" s="3">
        <v>11541</v>
      </c>
    </row>
    <row r="155" spans="1:2" ht="15" customHeight="1">
      <c r="A155" t="s">
        <v>154</v>
      </c>
      <c r="B155" s="3">
        <v>6374</v>
      </c>
    </row>
    <row r="156" spans="1:2" ht="15" customHeight="1">
      <c r="A156" t="s">
        <v>155</v>
      </c>
      <c r="B156" s="3">
        <v>17165</v>
      </c>
    </row>
    <row r="157" spans="1:2" ht="15" customHeight="1">
      <c r="A157" t="s">
        <v>156</v>
      </c>
      <c r="B157" s="3">
        <v>10717</v>
      </c>
    </row>
    <row r="158" spans="1:2" ht="15" customHeight="1">
      <c r="A158" t="s">
        <v>157</v>
      </c>
      <c r="B158" s="3">
        <v>13954</v>
      </c>
    </row>
    <row r="159" spans="1:2" ht="15" customHeight="1">
      <c r="A159" t="s">
        <v>158</v>
      </c>
      <c r="B159" s="3">
        <v>26327</v>
      </c>
    </row>
    <row r="160" spans="1:2" ht="15" customHeight="1">
      <c r="A160" t="s">
        <v>159</v>
      </c>
      <c r="B160" s="3">
        <v>20209</v>
      </c>
    </row>
    <row r="161" spans="1:2" ht="15" customHeight="1">
      <c r="A161" t="s">
        <v>160</v>
      </c>
      <c r="B161" s="3">
        <v>7318</v>
      </c>
    </row>
    <row r="162" spans="1:2" ht="15" customHeight="1">
      <c r="A162" t="s">
        <v>161</v>
      </c>
      <c r="B162" s="3">
        <v>39576</v>
      </c>
    </row>
    <row r="163" spans="1:2" ht="15" customHeight="1">
      <c r="A163" t="s">
        <v>162</v>
      </c>
      <c r="B163" s="3">
        <v>5487</v>
      </c>
    </row>
    <row r="164" spans="1:2" ht="15" customHeight="1">
      <c r="A164" t="s">
        <v>163</v>
      </c>
      <c r="B164" s="3">
        <v>7061</v>
      </c>
    </row>
    <row r="165" spans="1:2" ht="15" customHeight="1">
      <c r="A165" t="s">
        <v>164</v>
      </c>
      <c r="B165" s="3">
        <v>39110</v>
      </c>
    </row>
    <row r="166" spans="1:2" ht="15" customHeight="1">
      <c r="A166" t="s">
        <v>165</v>
      </c>
      <c r="B166" s="3">
        <v>77282</v>
      </c>
    </row>
    <row r="167" spans="1:2" ht="15" customHeight="1">
      <c r="A167" t="s">
        <v>166</v>
      </c>
      <c r="B167" s="3">
        <v>74043</v>
      </c>
    </row>
    <row r="168" spans="1:2" ht="15" customHeight="1">
      <c r="A168" t="s">
        <v>167</v>
      </c>
      <c r="B168" s="3">
        <v>22644</v>
      </c>
    </row>
    <row r="169" spans="1:2" ht="15" customHeight="1">
      <c r="A169" t="s">
        <v>168</v>
      </c>
      <c r="B169" s="3">
        <v>29191</v>
      </c>
    </row>
    <row r="170" spans="1:2" ht="15" customHeight="1">
      <c r="A170" t="s">
        <v>169</v>
      </c>
      <c r="B170" s="3">
        <v>32366</v>
      </c>
    </row>
    <row r="171" spans="1:2" ht="15" customHeight="1">
      <c r="A171" t="s">
        <v>170</v>
      </c>
      <c r="B171" s="3">
        <v>11661</v>
      </c>
    </row>
    <row r="172" spans="1:2" ht="15" customHeight="1">
      <c r="A172" t="s">
        <v>171</v>
      </c>
      <c r="B172" s="3">
        <v>13820</v>
      </c>
    </row>
    <row r="173" spans="1:2" ht="15" customHeight="1">
      <c r="A173" t="s">
        <v>172</v>
      </c>
      <c r="B173" s="3">
        <v>14288</v>
      </c>
    </row>
    <row r="174" spans="1:2" ht="15" customHeight="1">
      <c r="A174" t="s">
        <v>173</v>
      </c>
      <c r="B174" s="3">
        <v>17799</v>
      </c>
    </row>
    <row r="175" spans="1:2" ht="15" customHeight="1">
      <c r="A175" t="s">
        <v>174</v>
      </c>
      <c r="B175" s="3">
        <v>40736</v>
      </c>
    </row>
    <row r="176" spans="1:2" ht="15" customHeight="1">
      <c r="A176" t="s">
        <v>175</v>
      </c>
      <c r="B176" s="3">
        <v>26476</v>
      </c>
    </row>
    <row r="177" spans="1:2" ht="15" customHeight="1">
      <c r="A177" t="s">
        <v>176</v>
      </c>
      <c r="B177" s="3">
        <v>6983</v>
      </c>
    </row>
    <row r="178" spans="1:2" ht="15" customHeight="1">
      <c r="A178" t="s">
        <v>177</v>
      </c>
      <c r="B178" s="3">
        <v>33607</v>
      </c>
    </row>
    <row r="179" spans="1:2" ht="15" customHeight="1">
      <c r="A179" t="s">
        <v>178</v>
      </c>
      <c r="B179" s="3">
        <v>4702</v>
      </c>
    </row>
    <row r="180" spans="1:2" ht="15" customHeight="1">
      <c r="A180" t="s">
        <v>179</v>
      </c>
      <c r="B180" s="3">
        <v>10261</v>
      </c>
    </row>
    <row r="181" spans="1:2" ht="15" customHeight="1">
      <c r="A181" t="s">
        <v>180</v>
      </c>
      <c r="B181" s="3">
        <v>12146</v>
      </c>
    </row>
    <row r="182" spans="1:2" ht="15" customHeight="1">
      <c r="A182" t="s">
        <v>181</v>
      </c>
      <c r="B182" s="3">
        <v>19920</v>
      </c>
    </row>
    <row r="183" spans="1:2" ht="15" customHeight="1">
      <c r="A183" t="s">
        <v>182</v>
      </c>
      <c r="B183" s="3">
        <v>12309</v>
      </c>
    </row>
    <row r="184" spans="1:2" ht="15" customHeight="1">
      <c r="A184" t="s">
        <v>183</v>
      </c>
      <c r="B184" s="3">
        <v>10814</v>
      </c>
    </row>
    <row r="185" spans="1:2" ht="15" customHeight="1">
      <c r="A185" t="s">
        <v>184</v>
      </c>
      <c r="B185" s="3">
        <v>17238</v>
      </c>
    </row>
    <row r="186" spans="1:2" ht="15" customHeight="1">
      <c r="A186" t="s">
        <v>185</v>
      </c>
      <c r="B186" s="3">
        <v>24928</v>
      </c>
    </row>
    <row r="187" spans="1:2" ht="15" customHeight="1">
      <c r="A187" t="s">
        <v>186</v>
      </c>
      <c r="B187" s="3">
        <v>163045</v>
      </c>
    </row>
    <row r="188" spans="1:2" ht="15" customHeight="1">
      <c r="A188" t="s">
        <v>187</v>
      </c>
      <c r="B188" s="3">
        <v>7496</v>
      </c>
    </row>
    <row r="189" spans="1:2" ht="15" customHeight="1">
      <c r="A189" t="s">
        <v>188</v>
      </c>
      <c r="B189" s="3">
        <v>1014837</v>
      </c>
    </row>
    <row r="190" spans="1:2" ht="15" customHeight="1">
      <c r="A190" t="s">
        <v>189</v>
      </c>
      <c r="B190" s="3">
        <v>20153</v>
      </c>
    </row>
    <row r="191" spans="1:2" ht="15" customHeight="1">
      <c r="A191" t="s">
        <v>190</v>
      </c>
      <c r="B191" s="3">
        <v>39093</v>
      </c>
    </row>
    <row r="192" spans="1:2" ht="15" customHeight="1">
      <c r="A192" t="s">
        <v>191</v>
      </c>
      <c r="B192" s="3">
        <v>12028</v>
      </c>
    </row>
    <row r="193" spans="1:2" ht="15" customHeight="1">
      <c r="A193" t="s">
        <v>192</v>
      </c>
      <c r="B193" s="3">
        <v>4425</v>
      </c>
    </row>
    <row r="194" spans="1:2" ht="15" customHeight="1">
      <c r="A194" t="s">
        <v>193</v>
      </c>
      <c r="B194" s="3">
        <v>17474</v>
      </c>
    </row>
    <row r="195" spans="1:2" ht="15" customHeight="1">
      <c r="A195" t="s">
        <v>194</v>
      </c>
      <c r="B195" s="3">
        <v>6090</v>
      </c>
    </row>
    <row r="196" spans="1:2" ht="15" customHeight="1">
      <c r="A196" t="s">
        <v>195</v>
      </c>
      <c r="B196" s="3">
        <v>5957</v>
      </c>
    </row>
    <row r="197" spans="1:2" ht="15" customHeight="1">
      <c r="A197" t="s">
        <v>196</v>
      </c>
      <c r="B197" s="3">
        <v>20863</v>
      </c>
    </row>
    <row r="198" spans="1:2" ht="15" customHeight="1">
      <c r="A198" t="s">
        <v>197</v>
      </c>
      <c r="B198" s="3">
        <v>11990</v>
      </c>
    </row>
    <row r="199" spans="1:2" ht="15" customHeight="1">
      <c r="A199" t="s">
        <v>198</v>
      </c>
      <c r="B199" s="3">
        <v>10256</v>
      </c>
    </row>
    <row r="200" spans="1:2" ht="15" customHeight="1">
      <c r="A200" t="s">
        <v>199</v>
      </c>
      <c r="B200" s="3">
        <v>17998</v>
      </c>
    </row>
    <row r="201" spans="1:2" ht="15" customHeight="1">
      <c r="A201" t="s">
        <v>200</v>
      </c>
      <c r="B201" s="3">
        <v>10940</v>
      </c>
    </row>
    <row r="202" spans="1:2" ht="15" customHeight="1">
      <c r="A202" t="s">
        <v>201</v>
      </c>
      <c r="B202" s="3">
        <v>17002</v>
      </c>
    </row>
    <row r="203" spans="1:2" ht="15" customHeight="1">
      <c r="A203" t="s">
        <v>202</v>
      </c>
      <c r="B203" s="3">
        <v>10444</v>
      </c>
    </row>
    <row r="204" spans="1:2" ht="15" customHeight="1">
      <c r="A204" t="s">
        <v>203</v>
      </c>
      <c r="B204" s="3">
        <v>4613</v>
      </c>
    </row>
    <row r="205" spans="1:2" ht="15" customHeight="1">
      <c r="A205" t="s">
        <v>204</v>
      </c>
      <c r="B205" s="3">
        <v>7796</v>
      </c>
    </row>
    <row r="206" spans="1:2" ht="15" customHeight="1">
      <c r="A206" t="s">
        <v>205</v>
      </c>
      <c r="B206" s="3">
        <v>27997</v>
      </c>
    </row>
    <row r="207" spans="1:2" ht="15" customHeight="1">
      <c r="A207" t="s">
        <v>206</v>
      </c>
      <c r="B207" s="3">
        <v>155460</v>
      </c>
    </row>
    <row r="208" spans="1:2" ht="15" customHeight="1">
      <c r="A208" t="s">
        <v>207</v>
      </c>
      <c r="B208" s="3">
        <v>18953</v>
      </c>
    </row>
    <row r="209" spans="1:2" ht="15" customHeight="1">
      <c r="A209" t="s">
        <v>208</v>
      </c>
      <c r="B209" s="3">
        <v>5596</v>
      </c>
    </row>
    <row r="210" spans="1:2" ht="15" customHeight="1">
      <c r="A210" t="s">
        <v>209</v>
      </c>
      <c r="B210" s="3">
        <v>39183</v>
      </c>
    </row>
    <row r="211" spans="1:2" ht="15" customHeight="1">
      <c r="A211" t="s">
        <v>210</v>
      </c>
      <c r="B211" s="3">
        <v>33933</v>
      </c>
    </row>
    <row r="212" spans="1:2" ht="15" customHeight="1">
      <c r="A212" t="s">
        <v>211</v>
      </c>
      <c r="B212" s="3">
        <v>22846</v>
      </c>
    </row>
    <row r="213" spans="1:2" ht="15" customHeight="1">
      <c r="A213" t="s">
        <v>212</v>
      </c>
      <c r="B213" s="3">
        <v>52788</v>
      </c>
    </row>
    <row r="214" spans="1:2" ht="15" customHeight="1">
      <c r="A214" t="s">
        <v>213</v>
      </c>
      <c r="B214" s="3">
        <v>24573</v>
      </c>
    </row>
    <row r="215" spans="1:2" ht="15" customHeight="1">
      <c r="A215" t="s">
        <v>214</v>
      </c>
      <c r="B215" s="3">
        <v>49412</v>
      </c>
    </row>
    <row r="216" spans="1:2" ht="15" customHeight="1">
      <c r="A216" t="s">
        <v>215</v>
      </c>
      <c r="B216" s="3">
        <v>49496</v>
      </c>
    </row>
    <row r="217" spans="1:2" ht="15" customHeight="1">
      <c r="A217" t="s">
        <v>216</v>
      </c>
      <c r="B217" s="3">
        <v>11258</v>
      </c>
    </row>
    <row r="218" spans="1:2" ht="15" customHeight="1">
      <c r="A218" t="s">
        <v>217</v>
      </c>
      <c r="B218" s="3">
        <v>31217</v>
      </c>
    </row>
    <row r="219" spans="1:2" ht="15" customHeight="1">
      <c r="A219" t="s">
        <v>218</v>
      </c>
      <c r="B219" s="3">
        <v>31658</v>
      </c>
    </row>
    <row r="220" spans="1:2" ht="15" customHeight="1">
      <c r="A220" t="s">
        <v>219</v>
      </c>
      <c r="B220" s="3">
        <v>50173</v>
      </c>
    </row>
    <row r="221" spans="1:2" ht="19.5" customHeight="1">
      <c r="A221" s="4"/>
      <c r="B221" s="3"/>
    </row>
    <row r="222" spans="1:2" ht="14.25" customHeight="1">
      <c r="A222" t="s">
        <v>220</v>
      </c>
    </row>
    <row r="223" spans="1:2" ht="14.25" customHeight="1">
      <c r="A223" t="s">
        <v>221</v>
      </c>
    </row>
  </sheetData>
  <autoFilter ref="A3:B220">
    <sortState ref="A3:B220">
      <sortCondition ref="A3:A220"/>
    </sortState>
  </autoFilter>
  <pageMargins left="0.511811024" right="0.511811024" top="0.78740157499999996" bottom="0.78740157499999996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6"/>
  <sheetViews>
    <sheetView zoomScale="70" zoomScaleNormal="70" workbookViewId="0">
      <selection activeCell="F34" sqref="F34"/>
    </sheetView>
  </sheetViews>
  <sheetFormatPr defaultRowHeight="15"/>
  <cols>
    <col min="3" max="3" width="14.42578125" customWidth="1"/>
    <col min="4" max="4" width="13.42578125" bestFit="1" customWidth="1"/>
    <col min="5" max="5" width="63.140625" customWidth="1"/>
    <col min="6" max="6" width="11.5703125" customWidth="1"/>
    <col min="7" max="7" width="12.7109375" customWidth="1"/>
  </cols>
  <sheetData>
    <row r="2" spans="2:7" ht="15.75" thickBot="1"/>
    <row r="3" spans="2:7">
      <c r="B3" s="546"/>
      <c r="C3" s="547"/>
      <c r="D3" s="552" t="s">
        <v>462</v>
      </c>
      <c r="E3" s="552"/>
      <c r="F3" s="554"/>
      <c r="G3" s="555"/>
    </row>
    <row r="4" spans="2:7">
      <c r="B4" s="548"/>
      <c r="C4" s="549"/>
      <c r="D4" s="553"/>
      <c r="E4" s="553"/>
      <c r="F4" s="556"/>
      <c r="G4" s="557"/>
    </row>
    <row r="5" spans="2:7" ht="15.75" thickBot="1">
      <c r="B5" s="548"/>
      <c r="C5" s="549"/>
      <c r="D5" s="553"/>
      <c r="E5" s="553"/>
      <c r="F5" s="556"/>
      <c r="G5" s="557"/>
    </row>
    <row r="6" spans="2:7" ht="29.25" customHeight="1">
      <c r="B6" s="548"/>
      <c r="C6" s="549"/>
      <c r="D6" s="183" t="s">
        <v>463</v>
      </c>
      <c r="E6" s="184" t="str">
        <f>+BDI!E4</f>
        <v>EXECUÇÃO DE MANUTENÇÃO CONTÍNUA PREVENTIVA E CORRETIVA DAS VIAS VICINAIS E RURAIS</v>
      </c>
      <c r="F6" s="556"/>
      <c r="G6" s="557"/>
    </row>
    <row r="7" spans="2:7">
      <c r="B7" s="548"/>
      <c r="C7" s="549"/>
      <c r="D7" s="185" t="s">
        <v>465</v>
      </c>
      <c r="E7" s="186" t="s">
        <v>649</v>
      </c>
      <c r="F7" s="556"/>
      <c r="G7" s="557"/>
    </row>
    <row r="8" spans="2:7" ht="15.75" thickBot="1">
      <c r="B8" s="550"/>
      <c r="C8" s="551"/>
      <c r="D8" s="187" t="s">
        <v>650</v>
      </c>
      <c r="E8" s="188"/>
      <c r="F8" s="558"/>
      <c r="G8" s="559"/>
    </row>
    <row r="9" spans="2:7">
      <c r="B9" s="560" t="s">
        <v>580</v>
      </c>
      <c r="C9" s="561"/>
      <c r="D9" s="561"/>
      <c r="E9" s="561"/>
      <c r="F9" s="561"/>
      <c r="G9" s="562"/>
    </row>
    <row r="10" spans="2:7">
      <c r="B10" s="563" t="s">
        <v>581</v>
      </c>
      <c r="C10" s="564"/>
      <c r="D10" s="564"/>
      <c r="E10" s="564"/>
      <c r="F10" s="564"/>
      <c r="G10" s="565"/>
    </row>
    <row r="11" spans="2:7" ht="25.5">
      <c r="B11" s="566" t="s">
        <v>582</v>
      </c>
      <c r="C11" s="567"/>
      <c r="D11" s="568" t="s">
        <v>519</v>
      </c>
      <c r="E11" s="567"/>
      <c r="F11" s="189" t="s">
        <v>583</v>
      </c>
      <c r="G11" s="190" t="s">
        <v>584</v>
      </c>
    </row>
    <row r="12" spans="2:7">
      <c r="B12" s="535" t="s">
        <v>585</v>
      </c>
      <c r="C12" s="536"/>
      <c r="D12" s="536"/>
      <c r="E12" s="536"/>
      <c r="F12" s="536"/>
      <c r="G12" s="537"/>
    </row>
    <row r="13" spans="2:7">
      <c r="B13" s="538" t="s">
        <v>586</v>
      </c>
      <c r="C13" s="539"/>
      <c r="D13" s="540" t="s">
        <v>587</v>
      </c>
      <c r="E13" s="541"/>
      <c r="F13" s="182">
        <v>0</v>
      </c>
      <c r="G13" s="146">
        <v>0</v>
      </c>
    </row>
    <row r="14" spans="2:7">
      <c r="B14" s="538" t="s">
        <v>588</v>
      </c>
      <c r="C14" s="539"/>
      <c r="D14" s="540" t="s">
        <v>589</v>
      </c>
      <c r="E14" s="541"/>
      <c r="F14" s="147">
        <v>1.4999999999999999E-2</v>
      </c>
      <c r="G14" s="148">
        <v>1.4999999999999999E-2</v>
      </c>
    </row>
    <row r="15" spans="2:7">
      <c r="B15" s="538" t="s">
        <v>590</v>
      </c>
      <c r="C15" s="539"/>
      <c r="D15" s="540" t="s">
        <v>591</v>
      </c>
      <c r="E15" s="541"/>
      <c r="F15" s="147">
        <v>0.01</v>
      </c>
      <c r="G15" s="148">
        <v>0.01</v>
      </c>
    </row>
    <row r="16" spans="2:7">
      <c r="B16" s="538" t="s">
        <v>592</v>
      </c>
      <c r="C16" s="539"/>
      <c r="D16" s="540" t="s">
        <v>593</v>
      </c>
      <c r="E16" s="541"/>
      <c r="F16" s="147">
        <v>2E-3</v>
      </c>
      <c r="G16" s="148">
        <v>2E-3</v>
      </c>
    </row>
    <row r="17" spans="2:7">
      <c r="B17" s="538" t="s">
        <v>594</v>
      </c>
      <c r="C17" s="539"/>
      <c r="D17" s="540" t="s">
        <v>595</v>
      </c>
      <c r="E17" s="541"/>
      <c r="F17" s="147">
        <v>6.0000000000000001E-3</v>
      </c>
      <c r="G17" s="148">
        <v>6.0000000000000001E-3</v>
      </c>
    </row>
    <row r="18" spans="2:7">
      <c r="B18" s="538" t="s">
        <v>596</v>
      </c>
      <c r="C18" s="539"/>
      <c r="D18" s="540" t="s">
        <v>597</v>
      </c>
      <c r="E18" s="541"/>
      <c r="F18" s="147">
        <v>2.5000000000000001E-2</v>
      </c>
      <c r="G18" s="148">
        <v>2.5000000000000001E-2</v>
      </c>
    </row>
    <row r="19" spans="2:7">
      <c r="B19" s="538" t="s">
        <v>598</v>
      </c>
      <c r="C19" s="539"/>
      <c r="D19" s="540" t="s">
        <v>599</v>
      </c>
      <c r="E19" s="541"/>
      <c r="F19" s="147">
        <v>0.03</v>
      </c>
      <c r="G19" s="148">
        <v>0.03</v>
      </c>
    </row>
    <row r="20" spans="2:7">
      <c r="B20" s="538" t="s">
        <v>600</v>
      </c>
      <c r="C20" s="539"/>
      <c r="D20" s="540" t="s">
        <v>601</v>
      </c>
      <c r="E20" s="541"/>
      <c r="F20" s="147">
        <v>0.08</v>
      </c>
      <c r="G20" s="148">
        <v>0.08</v>
      </c>
    </row>
    <row r="21" spans="2:7">
      <c r="B21" s="538" t="s">
        <v>602</v>
      </c>
      <c r="C21" s="539"/>
      <c r="D21" s="540" t="s">
        <v>603</v>
      </c>
      <c r="E21" s="541"/>
      <c r="F21" s="147">
        <v>0</v>
      </c>
      <c r="G21" s="148">
        <v>0</v>
      </c>
    </row>
    <row r="22" spans="2:7">
      <c r="B22" s="538" t="s">
        <v>604</v>
      </c>
      <c r="C22" s="539"/>
      <c r="D22" s="544" t="s">
        <v>2</v>
      </c>
      <c r="E22" s="545"/>
      <c r="F22" s="191">
        <f>SUM(F13:F21)</f>
        <v>0.16799999999999998</v>
      </c>
      <c r="G22" s="192">
        <f>SUM(G13:G21)</f>
        <v>0.16799999999999998</v>
      </c>
    </row>
    <row r="23" spans="2:7">
      <c r="B23" s="535" t="s">
        <v>605</v>
      </c>
      <c r="C23" s="536"/>
      <c r="D23" s="536"/>
      <c r="E23" s="536"/>
      <c r="F23" s="536"/>
      <c r="G23" s="537"/>
    </row>
    <row r="24" spans="2:7">
      <c r="B24" s="538" t="s">
        <v>606</v>
      </c>
      <c r="C24" s="539"/>
      <c r="D24" s="540" t="s">
        <v>607</v>
      </c>
      <c r="E24" s="541"/>
      <c r="F24" s="182">
        <v>0.1797</v>
      </c>
      <c r="G24" s="146" t="s">
        <v>608</v>
      </c>
    </row>
    <row r="25" spans="2:7">
      <c r="B25" s="538" t="s">
        <v>609</v>
      </c>
      <c r="C25" s="539"/>
      <c r="D25" s="540" t="s">
        <v>610</v>
      </c>
      <c r="E25" s="541"/>
      <c r="F25" s="147">
        <v>4.5900000000000003E-2</v>
      </c>
      <c r="G25" s="148" t="s">
        <v>608</v>
      </c>
    </row>
    <row r="26" spans="2:7">
      <c r="B26" s="538" t="s">
        <v>611</v>
      </c>
      <c r="C26" s="539"/>
      <c r="D26" s="540" t="s">
        <v>612</v>
      </c>
      <c r="E26" s="541"/>
      <c r="F26" s="147">
        <v>8.6E-3</v>
      </c>
      <c r="G26" s="148">
        <v>6.8999999999999999E-3</v>
      </c>
    </row>
    <row r="27" spans="2:7">
      <c r="B27" s="538" t="s">
        <v>613</v>
      </c>
      <c r="C27" s="539"/>
      <c r="D27" s="540" t="s">
        <v>614</v>
      </c>
      <c r="E27" s="541"/>
      <c r="F27" s="147">
        <v>0.107</v>
      </c>
      <c r="G27" s="148">
        <v>8.3299999999999999E-2</v>
      </c>
    </row>
    <row r="28" spans="2:7">
      <c r="B28" s="538" t="s">
        <v>615</v>
      </c>
      <c r="C28" s="539"/>
      <c r="D28" s="540" t="s">
        <v>616</v>
      </c>
      <c r="E28" s="541"/>
      <c r="F28" s="147">
        <v>6.9999999999999999E-4</v>
      </c>
      <c r="G28" s="148">
        <v>5.9999999999999995E-4</v>
      </c>
    </row>
    <row r="29" spans="2:7">
      <c r="B29" s="538" t="s">
        <v>617</v>
      </c>
      <c r="C29" s="539"/>
      <c r="D29" s="540" t="s">
        <v>618</v>
      </c>
      <c r="E29" s="541"/>
      <c r="F29" s="147">
        <v>7.1000000000000004E-3</v>
      </c>
      <c r="G29" s="148">
        <v>5.5999999999999999E-3</v>
      </c>
    </row>
    <row r="30" spans="2:7">
      <c r="B30" s="538" t="s">
        <v>619</v>
      </c>
      <c r="C30" s="539"/>
      <c r="D30" s="540" t="s">
        <v>620</v>
      </c>
      <c r="E30" s="541"/>
      <c r="F30" s="147">
        <v>1.46E-2</v>
      </c>
      <c r="G30" s="148" t="s">
        <v>608</v>
      </c>
    </row>
    <row r="31" spans="2:7">
      <c r="B31" s="538" t="s">
        <v>621</v>
      </c>
      <c r="C31" s="539"/>
      <c r="D31" s="540" t="s">
        <v>622</v>
      </c>
      <c r="E31" s="541"/>
      <c r="F31" s="147">
        <v>1.1000000000000001E-3</v>
      </c>
      <c r="G31" s="148">
        <v>8.9999999999999998E-4</v>
      </c>
    </row>
    <row r="32" spans="2:7">
      <c r="B32" s="538" t="s">
        <v>623</v>
      </c>
      <c r="C32" s="539"/>
      <c r="D32" s="540" t="s">
        <v>624</v>
      </c>
      <c r="E32" s="541"/>
      <c r="F32" s="147">
        <v>0.1404</v>
      </c>
      <c r="G32" s="148">
        <v>0.10929999999999999</v>
      </c>
    </row>
    <row r="33" spans="2:7">
      <c r="B33" s="538" t="s">
        <v>625</v>
      </c>
      <c r="C33" s="539"/>
      <c r="D33" s="540" t="s">
        <v>626</v>
      </c>
      <c r="E33" s="541"/>
      <c r="F33" s="147">
        <v>2.9999999999999997E-4</v>
      </c>
      <c r="G33" s="148">
        <v>2.9999999999999997E-4</v>
      </c>
    </row>
    <row r="34" spans="2:7">
      <c r="B34" s="538" t="s">
        <v>627</v>
      </c>
      <c r="C34" s="539"/>
      <c r="D34" s="544" t="s">
        <v>2</v>
      </c>
      <c r="E34" s="545"/>
      <c r="F34" s="191">
        <f>SUM(F24:F33)</f>
        <v>0.50539999999999996</v>
      </c>
      <c r="G34" s="192">
        <f>SUM(G24:G33)</f>
        <v>0.2069</v>
      </c>
    </row>
    <row r="35" spans="2:7">
      <c r="B35" s="535" t="s">
        <v>628</v>
      </c>
      <c r="C35" s="536"/>
      <c r="D35" s="536"/>
      <c r="E35" s="536"/>
      <c r="F35" s="536"/>
      <c r="G35" s="537"/>
    </row>
    <row r="36" spans="2:7">
      <c r="B36" s="538" t="s">
        <v>629</v>
      </c>
      <c r="C36" s="539"/>
      <c r="D36" s="540" t="s">
        <v>630</v>
      </c>
      <c r="E36" s="541"/>
      <c r="F36" s="182">
        <v>4.4400000000000002E-2</v>
      </c>
      <c r="G36" s="146">
        <v>3.6200000000000003E-2</v>
      </c>
    </row>
    <row r="37" spans="2:7">
      <c r="B37" s="538" t="s">
        <v>631</v>
      </c>
      <c r="C37" s="539"/>
      <c r="D37" s="540" t="s">
        <v>632</v>
      </c>
      <c r="E37" s="541"/>
      <c r="F37" s="147">
        <v>1E-3</v>
      </c>
      <c r="G37" s="148">
        <v>8.0000000000000004E-4</v>
      </c>
    </row>
    <row r="38" spans="2:7">
      <c r="B38" s="538" t="s">
        <v>633</v>
      </c>
      <c r="C38" s="539"/>
      <c r="D38" s="540" t="s">
        <v>634</v>
      </c>
      <c r="E38" s="541"/>
      <c r="F38" s="147">
        <v>0</v>
      </c>
      <c r="G38" s="148">
        <v>0</v>
      </c>
    </row>
    <row r="39" spans="2:7">
      <c r="B39" s="538" t="s">
        <v>635</v>
      </c>
      <c r="C39" s="539"/>
      <c r="D39" s="540" t="s">
        <v>636</v>
      </c>
      <c r="E39" s="541"/>
      <c r="F39" s="147">
        <v>3.9399999999999998E-2</v>
      </c>
      <c r="G39" s="148">
        <v>3.0700000000000002E-2</v>
      </c>
    </row>
    <row r="40" spans="2:7">
      <c r="B40" s="538" t="s">
        <v>637</v>
      </c>
      <c r="C40" s="539"/>
      <c r="D40" s="540" t="s">
        <v>638</v>
      </c>
      <c r="E40" s="541"/>
      <c r="F40" s="147">
        <v>3.7000000000000002E-3</v>
      </c>
      <c r="G40" s="148">
        <v>2.8999999999999998E-3</v>
      </c>
    </row>
    <row r="41" spans="2:7">
      <c r="B41" s="538" t="s">
        <v>639</v>
      </c>
      <c r="C41" s="539"/>
      <c r="D41" s="544" t="s">
        <v>2</v>
      </c>
      <c r="E41" s="545"/>
      <c r="F41" s="191">
        <f>SUM(F36:F40)</f>
        <v>8.8499999999999995E-2</v>
      </c>
      <c r="G41" s="192">
        <f>SUM(G36:G40)</f>
        <v>7.060000000000001E-2</v>
      </c>
    </row>
    <row r="42" spans="2:7">
      <c r="B42" s="535" t="s">
        <v>640</v>
      </c>
      <c r="C42" s="536"/>
      <c r="D42" s="536"/>
      <c r="E42" s="536"/>
      <c r="F42" s="536"/>
      <c r="G42" s="537"/>
    </row>
    <row r="43" spans="2:7">
      <c r="B43" s="538" t="s">
        <v>641</v>
      </c>
      <c r="C43" s="539"/>
      <c r="D43" s="540" t="s">
        <v>642</v>
      </c>
      <c r="E43" s="541"/>
      <c r="F43" s="182">
        <v>8.0500000000000002E-2</v>
      </c>
      <c r="G43" s="146">
        <v>2.86E-2</v>
      </c>
    </row>
    <row r="44" spans="2:7" ht="26.25" customHeight="1">
      <c r="B44" s="538" t="s">
        <v>643</v>
      </c>
      <c r="C44" s="539"/>
      <c r="D44" s="542" t="s">
        <v>644</v>
      </c>
      <c r="E44" s="543"/>
      <c r="F44" s="147">
        <v>3.7000000000000002E-3</v>
      </c>
      <c r="G44" s="148">
        <v>2.8999999999999998E-3</v>
      </c>
    </row>
    <row r="45" spans="2:7">
      <c r="B45" s="538" t="s">
        <v>645</v>
      </c>
      <c r="C45" s="539"/>
      <c r="D45" s="535" t="s">
        <v>2</v>
      </c>
      <c r="E45" s="536"/>
      <c r="F45" s="193">
        <f>SUM(F43:F44)</f>
        <v>8.4199999999999997E-2</v>
      </c>
      <c r="G45" s="194">
        <f>SUM(G43:G44)</f>
        <v>3.15E-2</v>
      </c>
    </row>
    <row r="46" spans="2:7" ht="15.75" thickBot="1">
      <c r="B46" s="532" t="s">
        <v>646</v>
      </c>
      <c r="C46" s="533"/>
      <c r="D46" s="533"/>
      <c r="E46" s="534"/>
      <c r="F46" s="195">
        <f>SUM(F45,F41,F34,F22)</f>
        <v>0.84609999999999985</v>
      </c>
      <c r="G46" s="196">
        <f>SUM(G45,G41,G34,G22)</f>
        <v>0.47699999999999998</v>
      </c>
    </row>
  </sheetData>
  <mergeCells count="72">
    <mergeCell ref="B15:C15"/>
    <mergeCell ref="D15:E15"/>
    <mergeCell ref="B3:C8"/>
    <mergeCell ref="D3:E5"/>
    <mergeCell ref="F3:G8"/>
    <mergeCell ref="B9:G9"/>
    <mergeCell ref="B10:G10"/>
    <mergeCell ref="B11:C11"/>
    <mergeCell ref="D11:E11"/>
    <mergeCell ref="B12:G12"/>
    <mergeCell ref="B13:C13"/>
    <mergeCell ref="D13:E13"/>
    <mergeCell ref="B14:C14"/>
    <mergeCell ref="D14:E14"/>
    <mergeCell ref="B16:C16"/>
    <mergeCell ref="D16:E16"/>
    <mergeCell ref="B17:C17"/>
    <mergeCell ref="D17:E17"/>
    <mergeCell ref="B18:C18"/>
    <mergeCell ref="D18:E18"/>
    <mergeCell ref="B25:C25"/>
    <mergeCell ref="D25:E25"/>
    <mergeCell ref="B19:C19"/>
    <mergeCell ref="D19:E19"/>
    <mergeCell ref="B20:C20"/>
    <mergeCell ref="D20:E20"/>
    <mergeCell ref="B21:C21"/>
    <mergeCell ref="D21:E21"/>
    <mergeCell ref="B22:C22"/>
    <mergeCell ref="D22:E22"/>
    <mergeCell ref="B23:G23"/>
    <mergeCell ref="B24:C24"/>
    <mergeCell ref="D24:E24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8:C38"/>
    <mergeCell ref="D38:E38"/>
    <mergeCell ref="B32:C32"/>
    <mergeCell ref="D32:E32"/>
    <mergeCell ref="B33:C33"/>
    <mergeCell ref="D33:E33"/>
    <mergeCell ref="B34:C34"/>
    <mergeCell ref="D34:E34"/>
    <mergeCell ref="B35:G35"/>
    <mergeCell ref="B36:C36"/>
    <mergeCell ref="D36:E36"/>
    <mergeCell ref="B37:C37"/>
    <mergeCell ref="D37:E37"/>
    <mergeCell ref="B39:C39"/>
    <mergeCell ref="D39:E39"/>
    <mergeCell ref="B40:C40"/>
    <mergeCell ref="D40:E40"/>
    <mergeCell ref="B41:C41"/>
    <mergeCell ref="D41:E41"/>
    <mergeCell ref="B46:E46"/>
    <mergeCell ref="B42:G42"/>
    <mergeCell ref="B43:C43"/>
    <mergeCell ref="D43:E43"/>
    <mergeCell ref="B44:C44"/>
    <mergeCell ref="D44:E44"/>
    <mergeCell ref="B45:C45"/>
    <mergeCell ref="D45:E45"/>
  </mergeCells>
  <pageMargins left="0.511811024" right="0.511811024" top="0.78740157499999996" bottom="0.78740157499999996" header="0.31496062000000002" footer="0.31496062000000002"/>
  <pageSetup paperSize="9" scale="69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view="pageBreakPreview" topLeftCell="A79" zoomScale="85" zoomScaleNormal="70" zoomScaleSheetLayoutView="85" workbookViewId="0">
      <selection activeCell="E6" sqref="E6"/>
    </sheetView>
  </sheetViews>
  <sheetFormatPr defaultRowHeight="15"/>
  <cols>
    <col min="1" max="1" width="9.140625" style="306"/>
    <col min="2" max="2" width="13.42578125" style="305" customWidth="1"/>
    <col min="3" max="3" width="12.5703125" style="305" customWidth="1"/>
    <col min="4" max="4" width="17.5703125" style="305" customWidth="1"/>
    <col min="5" max="5" width="54.42578125" style="305" customWidth="1"/>
    <col min="6" max="6" width="9.7109375" style="305" customWidth="1"/>
    <col min="7" max="7" width="12.5703125" style="305" customWidth="1"/>
    <col min="8" max="8" width="14.7109375" style="305" customWidth="1"/>
    <col min="9" max="9" width="17.28515625" style="305" customWidth="1"/>
    <col min="10" max="10" width="10.5703125" style="305" customWidth="1"/>
    <col min="11" max="11" width="15.28515625" style="305" customWidth="1"/>
    <col min="12" max="12" width="12.28515625" style="305" customWidth="1"/>
    <col min="13" max="14" width="3.5703125" style="305" customWidth="1"/>
    <col min="15" max="15" width="24.5703125" style="305" customWidth="1"/>
    <col min="16" max="16" width="2.85546875" style="305" customWidth="1"/>
    <col min="17" max="18" width="13.5703125" style="305" customWidth="1"/>
    <col min="19" max="19" width="17.28515625" style="305" customWidth="1"/>
    <col min="20" max="20" width="19.85546875" style="305" customWidth="1"/>
    <col min="21" max="16384" width="9.140625" style="305"/>
  </cols>
  <sheetData>
    <row r="1" spans="2:20">
      <c r="B1" s="166"/>
      <c r="C1" s="168"/>
      <c r="D1" s="575" t="s">
        <v>462</v>
      </c>
      <c r="E1" s="575"/>
      <c r="F1" s="575"/>
      <c r="G1" s="575"/>
      <c r="H1" s="575"/>
      <c r="I1" s="575"/>
      <c r="J1" s="169"/>
      <c r="K1" s="167"/>
      <c r="L1" s="172"/>
    </row>
    <row r="2" spans="2:20">
      <c r="B2" s="309"/>
      <c r="C2" s="314"/>
      <c r="D2" s="576"/>
      <c r="E2" s="576"/>
      <c r="F2" s="576"/>
      <c r="G2" s="576"/>
      <c r="H2" s="576"/>
      <c r="I2" s="576"/>
      <c r="J2" s="170"/>
      <c r="K2" s="173"/>
      <c r="L2" s="174"/>
    </row>
    <row r="3" spans="2:20">
      <c r="B3" s="309"/>
      <c r="C3" s="314"/>
      <c r="D3" s="577"/>
      <c r="E3" s="577"/>
      <c r="F3" s="577"/>
      <c r="G3" s="577"/>
      <c r="H3" s="577"/>
      <c r="I3" s="577"/>
      <c r="J3" s="170"/>
      <c r="K3" s="173"/>
      <c r="L3" s="174"/>
    </row>
    <row r="4" spans="2:20" ht="29.25" customHeight="1">
      <c r="B4" s="309"/>
      <c r="C4" s="314"/>
      <c r="D4" s="59" t="s">
        <v>463</v>
      </c>
      <c r="E4" s="340" t="str">
        <f>+'PLANILHA ORÇAMENTÁRIA'!E5</f>
        <v>EXECUÇÃO DE MANUTENÇÃO CONTÍNUA PREVENTIVA E CORRETIVA DAS VIAS VICINAIS E RURAIS</v>
      </c>
      <c r="F4" s="165" t="s">
        <v>503</v>
      </c>
      <c r="G4" s="165"/>
      <c r="H4" s="308"/>
      <c r="I4" s="60">
        <f>+'PLANILHA ORÇAMENTÁRIA'!G5</f>
        <v>0.47699999999999998</v>
      </c>
      <c r="J4" s="578"/>
      <c r="K4" s="173"/>
      <c r="L4" s="174"/>
    </row>
    <row r="5" spans="2:20" ht="15" customHeight="1">
      <c r="B5" s="309"/>
      <c r="C5" s="314"/>
      <c r="D5" s="59" t="s">
        <v>465</v>
      </c>
      <c r="E5" s="340" t="str">
        <f>+'PLANILHA ORÇAMENTÁRIA'!E6</f>
        <v>SANTO ANTÔNIO DOS LOPES - MA</v>
      </c>
      <c r="F5" s="165" t="s">
        <v>467</v>
      </c>
      <c r="G5" s="165"/>
      <c r="H5" s="308"/>
      <c r="I5" s="60">
        <f>+'PLANILHA ORÇAMENTÁRIA'!G6</f>
        <v>0.84609999999999996</v>
      </c>
      <c r="J5" s="578"/>
      <c r="K5" s="173"/>
      <c r="L5" s="174"/>
    </row>
    <row r="6" spans="2:20" ht="36.75" customHeight="1">
      <c r="B6" s="309"/>
      <c r="C6" s="314"/>
      <c r="D6" s="59" t="s">
        <v>468</v>
      </c>
      <c r="E6" s="340" t="str">
        <f>+'PLANILHA ORÇAMENTÁRIA'!E7</f>
        <v>DIVERSOS POVOADOS DO MUNICÍPIO DE SANTO ANTÔNIO DOS LOPES - MA</v>
      </c>
      <c r="F6" s="165" t="s">
        <v>469</v>
      </c>
      <c r="G6" s="165"/>
      <c r="H6" s="308"/>
      <c r="I6" s="171">
        <f>+'PLANILHA ORÇAMENTÁRIA'!G7</f>
        <v>45078</v>
      </c>
      <c r="J6" s="578"/>
      <c r="K6" s="173"/>
      <c r="L6" s="174"/>
    </row>
    <row r="7" spans="2:20">
      <c r="B7" s="313"/>
      <c r="C7" s="311"/>
      <c r="D7" s="312"/>
      <c r="E7" s="580"/>
      <c r="F7" s="365"/>
      <c r="G7" s="165" t="s">
        <v>470</v>
      </c>
      <c r="H7" s="308"/>
      <c r="I7" s="60">
        <f>+'PLANILHA ORÇAMENTÁRIA'!G8</f>
        <v>0.24229999999999999</v>
      </c>
      <c r="J7" s="579"/>
      <c r="K7" s="175"/>
      <c r="L7" s="176"/>
    </row>
    <row r="8" spans="2:20">
      <c r="B8" s="442" t="s">
        <v>647</v>
      </c>
      <c r="C8" s="581"/>
      <c r="D8" s="581"/>
      <c r="E8" s="581"/>
      <c r="F8" s="581"/>
      <c r="G8" s="581"/>
      <c r="H8" s="581"/>
      <c r="I8" s="581"/>
      <c r="J8" s="581"/>
      <c r="K8" s="581"/>
      <c r="L8" s="582"/>
    </row>
    <row r="9" spans="2:20" ht="40.5" customHeight="1">
      <c r="B9" s="434" t="s">
        <v>472</v>
      </c>
      <c r="C9" s="583"/>
      <c r="D9" s="584" t="s">
        <v>474</v>
      </c>
      <c r="E9" s="585"/>
      <c r="F9" s="63" t="s">
        <v>475</v>
      </c>
      <c r="G9" s="64" t="s">
        <v>476</v>
      </c>
      <c r="H9" s="149" t="s">
        <v>477</v>
      </c>
      <c r="I9" s="150" t="s">
        <v>478</v>
      </c>
      <c r="J9" s="151" t="s">
        <v>523</v>
      </c>
      <c r="K9" s="338" t="s">
        <v>1245</v>
      </c>
      <c r="L9" s="152" t="s">
        <v>648</v>
      </c>
      <c r="M9" s="56"/>
    </row>
    <row r="10" spans="2:20" s="306" customFormat="1" ht="5.25" customHeight="1" thickBot="1">
      <c r="B10" s="348"/>
      <c r="C10" s="349"/>
      <c r="D10" s="350"/>
      <c r="E10" s="351"/>
      <c r="F10" s="352"/>
      <c r="G10" s="353"/>
      <c r="H10" s="354"/>
      <c r="I10" s="355"/>
      <c r="J10" s="356"/>
      <c r="K10" s="357"/>
      <c r="L10" s="358"/>
      <c r="M10" s="56"/>
    </row>
    <row r="11" spans="2:20" ht="33" customHeight="1" thickBot="1">
      <c r="B11" s="572" t="s">
        <v>971</v>
      </c>
      <c r="C11" s="573"/>
      <c r="D11" s="574" t="s">
        <v>956</v>
      </c>
      <c r="E11" s="574"/>
      <c r="F11" s="341" t="s">
        <v>501</v>
      </c>
      <c r="G11" s="342">
        <v>108125</v>
      </c>
      <c r="H11" s="343">
        <v>45.36</v>
      </c>
      <c r="I11" s="343">
        <v>4904550</v>
      </c>
      <c r="J11" s="153">
        <f>I11/$O$11</f>
        <v>0.38026445150929761</v>
      </c>
      <c r="K11" s="154">
        <f>J11</f>
        <v>0.38026445150929761</v>
      </c>
      <c r="L11" s="344" t="str">
        <f>IF(K11&lt;=$R$12,"A",IF(K11&lt;=$R$13,"B","C"))</f>
        <v>A</v>
      </c>
      <c r="M11" s="72"/>
      <c r="O11" s="321">
        <f>SUM(I11:I83)</f>
        <v>12897734.669999996</v>
      </c>
      <c r="Q11" s="326" t="s">
        <v>1241</v>
      </c>
      <c r="R11" s="327" t="s">
        <v>1242</v>
      </c>
      <c r="S11" s="328" t="s">
        <v>1243</v>
      </c>
      <c r="T11" s="329" t="s">
        <v>1244</v>
      </c>
    </row>
    <row r="12" spans="2:20" ht="33" customHeight="1">
      <c r="B12" s="572" t="s">
        <v>1186</v>
      </c>
      <c r="C12" s="573"/>
      <c r="D12" s="574" t="s">
        <v>717</v>
      </c>
      <c r="E12" s="574"/>
      <c r="F12" s="341" t="s">
        <v>501</v>
      </c>
      <c r="G12" s="342">
        <v>108125</v>
      </c>
      <c r="H12" s="343">
        <v>13.3</v>
      </c>
      <c r="I12" s="343">
        <v>1438062.5</v>
      </c>
      <c r="J12" s="153">
        <f t="shared" ref="J12:J75" si="0">I12/$O$11</f>
        <v>0.11149729288081257</v>
      </c>
      <c r="K12" s="154">
        <f>+J12+K11</f>
        <v>0.49176174439011017</v>
      </c>
      <c r="L12" s="344" t="str">
        <f t="shared" ref="L12:L75" si="1">IF(K12&lt;=$R$12,"A",IF(K12&lt;=$R$13,"B","C"))</f>
        <v>A</v>
      </c>
      <c r="M12" s="72"/>
      <c r="O12" s="156"/>
      <c r="Q12" s="330" t="s">
        <v>604</v>
      </c>
      <c r="R12" s="324">
        <v>0.8</v>
      </c>
      <c r="S12" s="325">
        <f>COUNTIF($L$11:$L$83,Q12)/COUNTA($L$11:$L$83)</f>
        <v>0.15068493150684931</v>
      </c>
      <c r="T12" s="331">
        <f>SUMIF($L$11:$L$83,Q12,$J$11:$J$83)</f>
        <v>0.78492669131640658</v>
      </c>
    </row>
    <row r="13" spans="2:20" ht="33" customHeight="1">
      <c r="B13" s="572" t="s">
        <v>1187</v>
      </c>
      <c r="C13" s="573"/>
      <c r="D13" s="574" t="s">
        <v>801</v>
      </c>
      <c r="E13" s="574"/>
      <c r="F13" s="341" t="s">
        <v>501</v>
      </c>
      <c r="G13" s="342">
        <v>108125</v>
      </c>
      <c r="H13" s="343">
        <v>9.8000000000000007</v>
      </c>
      <c r="I13" s="343">
        <v>1059625</v>
      </c>
      <c r="J13" s="153">
        <f t="shared" si="0"/>
        <v>8.2155900017440844E-2</v>
      </c>
      <c r="K13" s="154">
        <f t="shared" ref="K13:K76" si="2">+J13+K12</f>
        <v>0.573917644407551</v>
      </c>
      <c r="L13" s="344" t="str">
        <f t="shared" si="1"/>
        <v>A</v>
      </c>
      <c r="M13" s="72"/>
      <c r="O13" s="156"/>
      <c r="Q13" s="332" t="s">
        <v>627</v>
      </c>
      <c r="R13" s="322">
        <v>0.95</v>
      </c>
      <c r="S13" s="323">
        <f>COUNTIF($L$11:$L$83,Q13)/COUNTA($L$11:$L$83)</f>
        <v>0.35616438356164382</v>
      </c>
      <c r="T13" s="333">
        <f>SUMIF($L$11:$L$83,Q13,$J$11:$J$83)</f>
        <v>0.16224272118632446</v>
      </c>
    </row>
    <row r="14" spans="2:20" ht="33" customHeight="1" thickBot="1">
      <c r="B14" s="572" t="s">
        <v>1218</v>
      </c>
      <c r="C14" s="573"/>
      <c r="D14" s="574" t="s">
        <v>1221</v>
      </c>
      <c r="E14" s="574"/>
      <c r="F14" s="341" t="s">
        <v>501</v>
      </c>
      <c r="G14" s="342">
        <v>844.8</v>
      </c>
      <c r="H14" s="343">
        <v>559.75</v>
      </c>
      <c r="I14" s="343">
        <v>472876.79999999999</v>
      </c>
      <c r="J14" s="153">
        <f t="shared" si="0"/>
        <v>3.6663554655059445E-2</v>
      </c>
      <c r="K14" s="154">
        <f t="shared" si="2"/>
        <v>0.61058119906261044</v>
      </c>
      <c r="L14" s="344" t="str">
        <f t="shared" si="1"/>
        <v>A</v>
      </c>
      <c r="M14" s="72"/>
      <c r="O14" s="156"/>
      <c r="Q14" s="334" t="s">
        <v>639</v>
      </c>
      <c r="R14" s="335">
        <v>1</v>
      </c>
      <c r="S14" s="336">
        <f>COUNTIF($L$11:$L$83,Q14)/COUNTA($L$11:$L$83)</f>
        <v>0.49315068493150682</v>
      </c>
      <c r="T14" s="337">
        <f>SUMIF($L$11:$L$83,Q14,$J$11:$J$83)</f>
        <v>5.2830587497269398E-2</v>
      </c>
    </row>
    <row r="15" spans="2:20" ht="52.5" customHeight="1">
      <c r="B15" s="572" t="s">
        <v>878</v>
      </c>
      <c r="C15" s="573"/>
      <c r="D15" s="574" t="s">
        <v>958</v>
      </c>
      <c r="E15" s="574"/>
      <c r="F15" s="341" t="s">
        <v>659</v>
      </c>
      <c r="G15" s="342">
        <v>143936</v>
      </c>
      <c r="H15" s="343">
        <v>3.21</v>
      </c>
      <c r="I15" s="343">
        <v>462034.56</v>
      </c>
      <c r="J15" s="153">
        <f t="shared" si="0"/>
        <v>3.5822923313400749E-2</v>
      </c>
      <c r="K15" s="154">
        <f t="shared" si="2"/>
        <v>0.64640412237601119</v>
      </c>
      <c r="L15" s="344" t="str">
        <f t="shared" si="1"/>
        <v>A</v>
      </c>
      <c r="M15" s="72"/>
      <c r="O15" s="156"/>
    </row>
    <row r="16" spans="2:20" ht="33" customHeight="1">
      <c r="B16" s="572" t="s">
        <v>1229</v>
      </c>
      <c r="C16" s="573"/>
      <c r="D16" s="574" t="s">
        <v>1232</v>
      </c>
      <c r="E16" s="574"/>
      <c r="F16" s="341" t="s">
        <v>501</v>
      </c>
      <c r="G16" s="342">
        <v>46.59</v>
      </c>
      <c r="H16" s="343">
        <v>8438.0099999999984</v>
      </c>
      <c r="I16" s="343">
        <v>393126.89</v>
      </c>
      <c r="J16" s="153">
        <f t="shared" si="0"/>
        <v>3.0480305267436558E-2</v>
      </c>
      <c r="K16" s="154">
        <f t="shared" si="2"/>
        <v>0.67688442764344781</v>
      </c>
      <c r="L16" s="344" t="str">
        <f t="shared" si="1"/>
        <v>A</v>
      </c>
      <c r="M16" s="72"/>
      <c r="O16" s="156"/>
    </row>
    <row r="17" spans="2:15" ht="33" customHeight="1">
      <c r="B17" s="572" t="s">
        <v>884</v>
      </c>
      <c r="C17" s="573"/>
      <c r="D17" s="574" t="s">
        <v>954</v>
      </c>
      <c r="E17" s="574"/>
      <c r="F17" s="341" t="s">
        <v>788</v>
      </c>
      <c r="G17" s="342">
        <v>89960</v>
      </c>
      <c r="H17" s="343">
        <v>3.39</v>
      </c>
      <c r="I17" s="343">
        <v>304964.40000000002</v>
      </c>
      <c r="J17" s="153">
        <f t="shared" si="0"/>
        <v>2.3644803355223627E-2</v>
      </c>
      <c r="K17" s="154">
        <f t="shared" si="2"/>
        <v>0.70052923099867148</v>
      </c>
      <c r="L17" s="344" t="str">
        <f t="shared" si="1"/>
        <v>A</v>
      </c>
      <c r="M17" s="72"/>
      <c r="O17" s="156"/>
    </row>
    <row r="18" spans="2:15" ht="33" customHeight="1">
      <c r="B18" s="572" t="s">
        <v>974</v>
      </c>
      <c r="C18" s="573"/>
      <c r="D18" s="574" t="s">
        <v>776</v>
      </c>
      <c r="E18" s="574"/>
      <c r="F18" s="341" t="s">
        <v>501</v>
      </c>
      <c r="G18" s="342">
        <v>5000</v>
      </c>
      <c r="H18" s="343">
        <v>60.75</v>
      </c>
      <c r="I18" s="343">
        <v>303750</v>
      </c>
      <c r="J18" s="153">
        <f t="shared" si="0"/>
        <v>2.3550647285877226E-2</v>
      </c>
      <c r="K18" s="154">
        <f t="shared" si="2"/>
        <v>0.72407987828454867</v>
      </c>
      <c r="L18" s="344" t="str">
        <f t="shared" si="1"/>
        <v>A</v>
      </c>
      <c r="M18" s="72"/>
      <c r="O18" s="156"/>
    </row>
    <row r="19" spans="2:15" ht="33" customHeight="1">
      <c r="B19" s="572" t="s">
        <v>514</v>
      </c>
      <c r="C19" s="573"/>
      <c r="D19" s="574" t="s">
        <v>803</v>
      </c>
      <c r="E19" s="574"/>
      <c r="F19" s="341" t="s">
        <v>487</v>
      </c>
      <c r="G19" s="342">
        <v>777945</v>
      </c>
      <c r="H19" s="343">
        <v>0.39</v>
      </c>
      <c r="I19" s="343">
        <v>303398.55</v>
      </c>
      <c r="J19" s="153">
        <f t="shared" si="0"/>
        <v>2.3523398314721267E-2</v>
      </c>
      <c r="K19" s="154">
        <f t="shared" si="2"/>
        <v>0.74760327659926995</v>
      </c>
      <c r="L19" s="344" t="str">
        <f t="shared" si="1"/>
        <v>A</v>
      </c>
      <c r="M19" s="72"/>
      <c r="O19" s="156"/>
    </row>
    <row r="20" spans="2:15" ht="33" customHeight="1">
      <c r="B20" s="572" t="s">
        <v>882</v>
      </c>
      <c r="C20" s="573"/>
      <c r="D20" s="574" t="s">
        <v>713</v>
      </c>
      <c r="E20" s="574"/>
      <c r="F20" s="341" t="s">
        <v>501</v>
      </c>
      <c r="G20" s="342">
        <v>108125</v>
      </c>
      <c r="H20" s="343">
        <v>2.46</v>
      </c>
      <c r="I20" s="343">
        <v>265987.5</v>
      </c>
      <c r="J20" s="153">
        <f t="shared" si="0"/>
        <v>2.0622807555398415E-2</v>
      </c>
      <c r="K20" s="154">
        <f t="shared" si="2"/>
        <v>0.76822608415466842</v>
      </c>
      <c r="L20" s="344" t="str">
        <f t="shared" si="1"/>
        <v>A</v>
      </c>
      <c r="M20" s="72"/>
      <c r="O20" s="156"/>
    </row>
    <row r="21" spans="2:15" ht="33" customHeight="1">
      <c r="B21" s="572" t="s">
        <v>1193</v>
      </c>
      <c r="C21" s="573"/>
      <c r="D21" s="574" t="s">
        <v>976</v>
      </c>
      <c r="E21" s="574"/>
      <c r="F21" s="341" t="s">
        <v>487</v>
      </c>
      <c r="G21" s="342">
        <v>20000</v>
      </c>
      <c r="H21" s="343">
        <v>10.77</v>
      </c>
      <c r="I21" s="343">
        <v>215400</v>
      </c>
      <c r="J21" s="153">
        <f t="shared" si="0"/>
        <v>1.6700607161738122E-2</v>
      </c>
      <c r="K21" s="154">
        <f t="shared" si="2"/>
        <v>0.78492669131640658</v>
      </c>
      <c r="L21" s="344" t="str">
        <f t="shared" si="1"/>
        <v>A</v>
      </c>
      <c r="M21" s="72"/>
      <c r="O21" s="156"/>
    </row>
    <row r="22" spans="2:15" ht="33" customHeight="1">
      <c r="B22" s="572" t="s">
        <v>670</v>
      </c>
      <c r="C22" s="573"/>
      <c r="D22" s="574" t="s">
        <v>703</v>
      </c>
      <c r="E22" s="574"/>
      <c r="F22" s="341" t="s">
        <v>501</v>
      </c>
      <c r="G22" s="342">
        <v>108125</v>
      </c>
      <c r="H22" s="343">
        <v>1.8800000000000001</v>
      </c>
      <c r="I22" s="343">
        <v>203275</v>
      </c>
      <c r="J22" s="153">
        <f t="shared" si="0"/>
        <v>1.5760519595182529E-2</v>
      </c>
      <c r="K22" s="154">
        <f t="shared" si="2"/>
        <v>0.80068721091158912</v>
      </c>
      <c r="L22" s="344" t="str">
        <f t="shared" si="1"/>
        <v>B</v>
      </c>
      <c r="M22" s="72"/>
      <c r="O22" s="156"/>
    </row>
    <row r="23" spans="2:15" ht="33" customHeight="1">
      <c r="B23" s="572" t="s">
        <v>1190</v>
      </c>
      <c r="C23" s="573"/>
      <c r="D23" s="574" t="s">
        <v>883</v>
      </c>
      <c r="E23" s="574"/>
      <c r="F23" s="341" t="s">
        <v>486</v>
      </c>
      <c r="G23" s="342">
        <v>1088</v>
      </c>
      <c r="H23" s="343">
        <v>122.13</v>
      </c>
      <c r="I23" s="343">
        <v>132877.44</v>
      </c>
      <c r="J23" s="153">
        <f t="shared" si="0"/>
        <v>1.0302385915029841E-2</v>
      </c>
      <c r="K23" s="154">
        <f t="shared" si="2"/>
        <v>0.81098959682661897</v>
      </c>
      <c r="L23" s="344" t="str">
        <f t="shared" si="1"/>
        <v>B</v>
      </c>
      <c r="M23" s="72"/>
      <c r="O23" s="156"/>
    </row>
    <row r="24" spans="2:15" ht="33" customHeight="1">
      <c r="B24" s="572" t="s">
        <v>967</v>
      </c>
      <c r="C24" s="573"/>
      <c r="D24" s="574" t="s">
        <v>808</v>
      </c>
      <c r="E24" s="574"/>
      <c r="F24" s="341" t="s">
        <v>486</v>
      </c>
      <c r="G24" s="342">
        <v>15</v>
      </c>
      <c r="H24" s="343">
        <v>8418.4599999999991</v>
      </c>
      <c r="I24" s="343">
        <v>126276.9</v>
      </c>
      <c r="J24" s="153">
        <f t="shared" si="0"/>
        <v>9.79062627902548E-3</v>
      </c>
      <c r="K24" s="154">
        <f t="shared" si="2"/>
        <v>0.82078022310564447</v>
      </c>
      <c r="L24" s="344" t="str">
        <f t="shared" si="1"/>
        <v>B</v>
      </c>
      <c r="M24" s="72"/>
      <c r="O24" s="156"/>
    </row>
    <row r="25" spans="2:15" ht="33" customHeight="1">
      <c r="B25" s="572" t="s">
        <v>1185</v>
      </c>
      <c r="C25" s="573"/>
      <c r="D25" s="574" t="s">
        <v>715</v>
      </c>
      <c r="E25" s="574"/>
      <c r="F25" s="341" t="s">
        <v>487</v>
      </c>
      <c r="G25" s="342">
        <v>865000</v>
      </c>
      <c r="H25" s="343">
        <v>0.13999999999999999</v>
      </c>
      <c r="I25" s="343">
        <v>121100</v>
      </c>
      <c r="J25" s="153">
        <f t="shared" si="0"/>
        <v>9.3892457162789537E-3</v>
      </c>
      <c r="K25" s="154">
        <f t="shared" si="2"/>
        <v>0.83016946882192344</v>
      </c>
      <c r="L25" s="344" t="str">
        <f t="shared" si="1"/>
        <v>B</v>
      </c>
      <c r="M25" s="72"/>
      <c r="O25" s="156"/>
    </row>
    <row r="26" spans="2:15" ht="33" customHeight="1">
      <c r="B26" s="572" t="s">
        <v>1180</v>
      </c>
      <c r="C26" s="573"/>
      <c r="D26" s="574" t="s">
        <v>889</v>
      </c>
      <c r="E26" s="574"/>
      <c r="F26" s="341" t="s">
        <v>501</v>
      </c>
      <c r="G26" s="342">
        <v>100</v>
      </c>
      <c r="H26" s="343">
        <v>1137.06</v>
      </c>
      <c r="I26" s="343">
        <v>113706</v>
      </c>
      <c r="J26" s="153">
        <f t="shared" si="0"/>
        <v>8.8159667499191959E-3</v>
      </c>
      <c r="K26" s="154">
        <f t="shared" si="2"/>
        <v>0.83898543557184269</v>
      </c>
      <c r="L26" s="344" t="str">
        <f t="shared" si="1"/>
        <v>B</v>
      </c>
      <c r="M26" s="72"/>
    </row>
    <row r="27" spans="2:15" ht="33" customHeight="1">
      <c r="B27" s="572" t="s">
        <v>1179</v>
      </c>
      <c r="C27" s="573"/>
      <c r="D27" s="574" t="s">
        <v>858</v>
      </c>
      <c r="E27" s="574"/>
      <c r="F27" s="341" t="s">
        <v>486</v>
      </c>
      <c r="G27" s="342">
        <v>500</v>
      </c>
      <c r="H27" s="343">
        <v>216.76</v>
      </c>
      <c r="I27" s="343">
        <v>108380</v>
      </c>
      <c r="J27" s="153">
        <f t="shared" si="0"/>
        <v>8.4030260175913529E-3</v>
      </c>
      <c r="K27" s="154">
        <f t="shared" si="2"/>
        <v>0.84738846158943404</v>
      </c>
      <c r="L27" s="344" t="str">
        <f t="shared" si="1"/>
        <v>B</v>
      </c>
      <c r="M27" s="72"/>
    </row>
    <row r="28" spans="2:15" ht="33" customHeight="1">
      <c r="B28" s="572" t="s">
        <v>669</v>
      </c>
      <c r="C28" s="573"/>
      <c r="D28" s="574" t="s">
        <v>699</v>
      </c>
      <c r="E28" s="574"/>
      <c r="F28" s="341" t="s">
        <v>501</v>
      </c>
      <c r="G28" s="342">
        <v>15000</v>
      </c>
      <c r="H28" s="343">
        <v>6.7</v>
      </c>
      <c r="I28" s="343">
        <v>100500</v>
      </c>
      <c r="J28" s="153">
        <f t="shared" si="0"/>
        <v>7.7920660155741932E-3</v>
      </c>
      <c r="K28" s="154">
        <f t="shared" si="2"/>
        <v>0.85518052760500818</v>
      </c>
      <c r="L28" s="344" t="str">
        <f t="shared" si="1"/>
        <v>B</v>
      </c>
      <c r="M28" s="72"/>
    </row>
    <row r="29" spans="2:15" ht="33" customHeight="1">
      <c r="B29" s="572" t="s">
        <v>1177</v>
      </c>
      <c r="C29" s="573"/>
      <c r="D29" s="574" t="s">
        <v>847</v>
      </c>
      <c r="E29" s="574"/>
      <c r="F29" s="341" t="s">
        <v>481</v>
      </c>
      <c r="G29" s="342">
        <v>4</v>
      </c>
      <c r="H29" s="343">
        <v>24798.100000000002</v>
      </c>
      <c r="I29" s="343">
        <v>99192.4</v>
      </c>
      <c r="J29" s="153">
        <f t="shared" si="0"/>
        <v>7.6906838710770302E-3</v>
      </c>
      <c r="K29" s="154">
        <f t="shared" si="2"/>
        <v>0.86287121147608525</v>
      </c>
      <c r="L29" s="344" t="str">
        <f t="shared" si="1"/>
        <v>B</v>
      </c>
      <c r="M29" s="72"/>
    </row>
    <row r="30" spans="2:15" ht="33" customHeight="1">
      <c r="B30" s="572" t="s">
        <v>1214</v>
      </c>
      <c r="C30" s="573"/>
      <c r="D30" s="574" t="s">
        <v>912</v>
      </c>
      <c r="E30" s="574"/>
      <c r="F30" s="341" t="s">
        <v>501</v>
      </c>
      <c r="G30" s="342">
        <v>200</v>
      </c>
      <c r="H30" s="343">
        <v>404.47999999999996</v>
      </c>
      <c r="I30" s="343">
        <v>80896</v>
      </c>
      <c r="J30" s="153">
        <f t="shared" si="0"/>
        <v>6.2721091780685561E-3</v>
      </c>
      <c r="K30" s="154">
        <f t="shared" si="2"/>
        <v>0.86914332065415378</v>
      </c>
      <c r="L30" s="344" t="str">
        <f t="shared" si="1"/>
        <v>B</v>
      </c>
      <c r="M30" s="72"/>
    </row>
    <row r="31" spans="2:15" ht="33" customHeight="1">
      <c r="B31" s="572" t="s">
        <v>482</v>
      </c>
      <c r="C31" s="573"/>
      <c r="D31" s="574" t="s">
        <v>1111</v>
      </c>
      <c r="E31" s="574"/>
      <c r="F31" s="341" t="s">
        <v>528</v>
      </c>
      <c r="G31" s="342">
        <v>2112</v>
      </c>
      <c r="H31" s="343">
        <v>34.68</v>
      </c>
      <c r="I31" s="343">
        <v>73244.160000000003</v>
      </c>
      <c r="J31" s="153">
        <f t="shared" si="0"/>
        <v>5.6788391042316292E-3</v>
      </c>
      <c r="K31" s="154">
        <f t="shared" si="2"/>
        <v>0.8748221597583854</v>
      </c>
      <c r="L31" s="344" t="str">
        <f t="shared" si="1"/>
        <v>B</v>
      </c>
      <c r="M31" s="72"/>
    </row>
    <row r="32" spans="2:15" ht="33" customHeight="1">
      <c r="B32" s="572" t="s">
        <v>480</v>
      </c>
      <c r="C32" s="573"/>
      <c r="D32" s="574" t="s">
        <v>1110</v>
      </c>
      <c r="E32" s="574"/>
      <c r="F32" s="341" t="s">
        <v>528</v>
      </c>
      <c r="G32" s="342">
        <v>576</v>
      </c>
      <c r="H32" s="343">
        <v>121.08</v>
      </c>
      <c r="I32" s="343">
        <v>69742.080000000002</v>
      </c>
      <c r="J32" s="153">
        <f t="shared" si="0"/>
        <v>5.4073123524722051E-3</v>
      </c>
      <c r="K32" s="154">
        <f t="shared" si="2"/>
        <v>0.88022947211085756</v>
      </c>
      <c r="L32" s="344" t="str">
        <f t="shared" si="1"/>
        <v>B</v>
      </c>
      <c r="M32" s="72"/>
    </row>
    <row r="33" spans="2:13" ht="33" customHeight="1">
      <c r="B33" s="572" t="s">
        <v>1171</v>
      </c>
      <c r="C33" s="573"/>
      <c r="D33" s="574" t="s">
        <v>1201</v>
      </c>
      <c r="E33" s="574"/>
      <c r="F33" s="341" t="s">
        <v>481</v>
      </c>
      <c r="G33" s="342">
        <v>2</v>
      </c>
      <c r="H33" s="343">
        <v>34688.949999999997</v>
      </c>
      <c r="I33" s="343">
        <v>69377.899999999994</v>
      </c>
      <c r="J33" s="153">
        <f t="shared" si="0"/>
        <v>5.3790763862876095E-3</v>
      </c>
      <c r="K33" s="154">
        <f t="shared" si="2"/>
        <v>0.88560854849714521</v>
      </c>
      <c r="L33" s="344" t="str">
        <f t="shared" si="1"/>
        <v>B</v>
      </c>
      <c r="M33" s="72"/>
    </row>
    <row r="34" spans="2:13" ht="33" customHeight="1">
      <c r="B34" s="572" t="s">
        <v>1182</v>
      </c>
      <c r="C34" s="573"/>
      <c r="D34" s="574" t="s">
        <v>955</v>
      </c>
      <c r="E34" s="574"/>
      <c r="F34" s="341" t="s">
        <v>788</v>
      </c>
      <c r="G34" s="342">
        <v>22490</v>
      </c>
      <c r="H34" s="343">
        <v>2.9099999999999997</v>
      </c>
      <c r="I34" s="343">
        <v>65445.9</v>
      </c>
      <c r="J34" s="153">
        <f t="shared" si="0"/>
        <v>5.074216649240469E-3</v>
      </c>
      <c r="K34" s="154">
        <f t="shared" si="2"/>
        <v>0.89068276514638567</v>
      </c>
      <c r="L34" s="344" t="str">
        <f t="shared" si="1"/>
        <v>B</v>
      </c>
      <c r="M34" s="72"/>
    </row>
    <row r="35" spans="2:13" ht="33" customHeight="1">
      <c r="B35" s="572" t="s">
        <v>1176</v>
      </c>
      <c r="C35" s="573"/>
      <c r="D35" s="574" t="s">
        <v>832</v>
      </c>
      <c r="E35" s="574"/>
      <c r="F35" s="341" t="s">
        <v>486</v>
      </c>
      <c r="G35" s="342">
        <v>9</v>
      </c>
      <c r="H35" s="343">
        <v>6960.16</v>
      </c>
      <c r="I35" s="343">
        <v>62641.440000000002</v>
      </c>
      <c r="J35" s="153">
        <f t="shared" si="0"/>
        <v>4.8567784655784065E-3</v>
      </c>
      <c r="K35" s="154">
        <f t="shared" si="2"/>
        <v>0.89553954361196408</v>
      </c>
      <c r="L35" s="344" t="str">
        <f t="shared" si="1"/>
        <v>B</v>
      </c>
      <c r="M35" s="72"/>
    </row>
    <row r="36" spans="2:13" ht="33" customHeight="1">
      <c r="B36" s="572" t="s">
        <v>483</v>
      </c>
      <c r="C36" s="573"/>
      <c r="D36" s="574" t="s">
        <v>1112</v>
      </c>
      <c r="E36" s="574"/>
      <c r="F36" s="341" t="s">
        <v>528</v>
      </c>
      <c r="G36" s="342">
        <v>2112</v>
      </c>
      <c r="H36" s="343">
        <v>28.860000000000003</v>
      </c>
      <c r="I36" s="343">
        <v>60952.32</v>
      </c>
      <c r="J36" s="153">
        <f t="shared" si="0"/>
        <v>4.7258159327602306E-3</v>
      </c>
      <c r="K36" s="154">
        <f t="shared" si="2"/>
        <v>0.90026535954472431</v>
      </c>
      <c r="L36" s="344" t="str">
        <f t="shared" si="1"/>
        <v>B</v>
      </c>
      <c r="M36" s="72"/>
    </row>
    <row r="37" spans="2:13" ht="33" customHeight="1">
      <c r="B37" s="572" t="s">
        <v>1235</v>
      </c>
      <c r="C37" s="573"/>
      <c r="D37" s="574" t="s">
        <v>923</v>
      </c>
      <c r="E37" s="574"/>
      <c r="F37" s="341" t="s">
        <v>487</v>
      </c>
      <c r="G37" s="342">
        <v>3000</v>
      </c>
      <c r="H37" s="343">
        <v>20.04</v>
      </c>
      <c r="I37" s="343">
        <v>60120</v>
      </c>
      <c r="J37" s="153">
        <f t="shared" si="0"/>
        <v>4.661283670212144E-3</v>
      </c>
      <c r="K37" s="154">
        <f t="shared" si="2"/>
        <v>0.90492664321493643</v>
      </c>
      <c r="L37" s="344" t="str">
        <f t="shared" si="1"/>
        <v>B</v>
      </c>
      <c r="M37" s="72"/>
    </row>
    <row r="38" spans="2:13" ht="33" customHeight="1">
      <c r="B38" s="572" t="s">
        <v>966</v>
      </c>
      <c r="C38" s="573"/>
      <c r="D38" s="574" t="s">
        <v>1026</v>
      </c>
      <c r="E38" s="574"/>
      <c r="F38" s="341" t="s">
        <v>486</v>
      </c>
      <c r="G38" s="342">
        <v>4148.8</v>
      </c>
      <c r="H38" s="343">
        <v>14.36</v>
      </c>
      <c r="I38" s="343">
        <v>59576.77</v>
      </c>
      <c r="J38" s="153">
        <f t="shared" si="0"/>
        <v>4.6191654212405977E-3</v>
      </c>
      <c r="K38" s="154">
        <f t="shared" si="2"/>
        <v>0.90954580863617707</v>
      </c>
      <c r="L38" s="344" t="str">
        <f t="shared" si="1"/>
        <v>B</v>
      </c>
      <c r="M38" s="72"/>
    </row>
    <row r="39" spans="2:13" ht="33" customHeight="1">
      <c r="B39" s="572" t="s">
        <v>498</v>
      </c>
      <c r="C39" s="573"/>
      <c r="D39" s="574" t="s">
        <v>531</v>
      </c>
      <c r="E39" s="574"/>
      <c r="F39" s="341" t="s">
        <v>528</v>
      </c>
      <c r="G39" s="342">
        <v>2640</v>
      </c>
      <c r="H39" s="343">
        <v>22.289999999999996</v>
      </c>
      <c r="I39" s="343">
        <v>58845.599999999999</v>
      </c>
      <c r="J39" s="153">
        <f t="shared" si="0"/>
        <v>4.5624756211549529E-3</v>
      </c>
      <c r="K39" s="154">
        <f t="shared" si="2"/>
        <v>0.91410828425733204</v>
      </c>
      <c r="L39" s="344" t="str">
        <f t="shared" si="1"/>
        <v>B</v>
      </c>
      <c r="M39" s="72"/>
    </row>
    <row r="40" spans="2:13" ht="33" customHeight="1">
      <c r="B40" s="572" t="s">
        <v>1170</v>
      </c>
      <c r="C40" s="573"/>
      <c r="D40" s="574" t="s">
        <v>828</v>
      </c>
      <c r="E40" s="574"/>
      <c r="F40" s="341" t="s">
        <v>486</v>
      </c>
      <c r="G40" s="342">
        <v>25</v>
      </c>
      <c r="H40" s="343">
        <v>2302.6999999999998</v>
      </c>
      <c r="I40" s="343">
        <v>57567.5</v>
      </c>
      <c r="J40" s="153">
        <f t="shared" si="0"/>
        <v>4.4633807000155953E-3</v>
      </c>
      <c r="K40" s="154">
        <f t="shared" si="2"/>
        <v>0.91857166495734766</v>
      </c>
      <c r="L40" s="344" t="str">
        <f t="shared" si="1"/>
        <v>B</v>
      </c>
      <c r="M40" s="72"/>
    </row>
    <row r="41" spans="2:13" ht="33" customHeight="1">
      <c r="B41" s="572" t="s">
        <v>485</v>
      </c>
      <c r="C41" s="573"/>
      <c r="D41" s="574" t="s">
        <v>1132</v>
      </c>
      <c r="E41" s="574"/>
      <c r="F41" s="341" t="s">
        <v>528</v>
      </c>
      <c r="G41" s="342">
        <v>2112</v>
      </c>
      <c r="H41" s="343">
        <v>26.770000000000003</v>
      </c>
      <c r="I41" s="343">
        <v>56538.239999999998</v>
      </c>
      <c r="J41" s="153">
        <f t="shared" si="0"/>
        <v>4.3835790893967906E-3</v>
      </c>
      <c r="K41" s="154">
        <f t="shared" si="2"/>
        <v>0.92295524404674445</v>
      </c>
      <c r="L41" s="344" t="str">
        <f t="shared" si="1"/>
        <v>B</v>
      </c>
      <c r="M41" s="72"/>
    </row>
    <row r="42" spans="2:13" ht="33" customHeight="1">
      <c r="B42" s="572" t="s">
        <v>651</v>
      </c>
      <c r="C42" s="573"/>
      <c r="D42" s="574" t="s">
        <v>1023</v>
      </c>
      <c r="E42" s="574"/>
      <c r="F42" s="341" t="s">
        <v>486</v>
      </c>
      <c r="G42" s="342">
        <v>96</v>
      </c>
      <c r="H42" s="343">
        <v>588.71</v>
      </c>
      <c r="I42" s="343">
        <v>56516.160000000003</v>
      </c>
      <c r="J42" s="153">
        <f t="shared" si="0"/>
        <v>4.3818671608632197E-3</v>
      </c>
      <c r="K42" s="154">
        <f t="shared" si="2"/>
        <v>0.92733711120760765</v>
      </c>
      <c r="L42" s="344" t="str">
        <f t="shared" si="1"/>
        <v>B</v>
      </c>
      <c r="M42" s="72"/>
    </row>
    <row r="43" spans="2:13" ht="33" customHeight="1">
      <c r="B43" s="572" t="s">
        <v>1217</v>
      </c>
      <c r="C43" s="573"/>
      <c r="D43" s="574" t="s">
        <v>918</v>
      </c>
      <c r="E43" s="574"/>
      <c r="F43" s="341" t="s">
        <v>486</v>
      </c>
      <c r="G43" s="342">
        <v>24</v>
      </c>
      <c r="H43" s="343">
        <v>2236.96</v>
      </c>
      <c r="I43" s="343">
        <v>53687.040000000001</v>
      </c>
      <c r="J43" s="153">
        <f t="shared" si="0"/>
        <v>4.1625170135400234E-3</v>
      </c>
      <c r="K43" s="154">
        <f t="shared" si="2"/>
        <v>0.93149962822114762</v>
      </c>
      <c r="L43" s="344" t="str">
        <f t="shared" si="1"/>
        <v>B</v>
      </c>
      <c r="M43" s="72"/>
    </row>
    <row r="44" spans="2:13" ht="33" customHeight="1">
      <c r="B44" s="572" t="s">
        <v>1167</v>
      </c>
      <c r="C44" s="573"/>
      <c r="D44" s="574" t="s">
        <v>820</v>
      </c>
      <c r="E44" s="574"/>
      <c r="F44" s="341" t="s">
        <v>486</v>
      </c>
      <c r="G44" s="342">
        <v>10</v>
      </c>
      <c r="H44" s="343">
        <v>5293.1</v>
      </c>
      <c r="I44" s="343">
        <v>52931</v>
      </c>
      <c r="J44" s="153">
        <f t="shared" si="0"/>
        <v>4.1038989678642548E-3</v>
      </c>
      <c r="K44" s="154">
        <f t="shared" si="2"/>
        <v>0.93560352718901185</v>
      </c>
      <c r="L44" s="344" t="str">
        <f t="shared" si="1"/>
        <v>B</v>
      </c>
      <c r="M44" s="72"/>
    </row>
    <row r="45" spans="2:13" ht="33" customHeight="1">
      <c r="B45" s="572" t="s">
        <v>965</v>
      </c>
      <c r="C45" s="573"/>
      <c r="D45" s="574" t="s">
        <v>695</v>
      </c>
      <c r="E45" s="574"/>
      <c r="F45" s="341" t="s">
        <v>481</v>
      </c>
      <c r="G45" s="342">
        <v>24</v>
      </c>
      <c r="H45" s="343">
        <v>2137.73</v>
      </c>
      <c r="I45" s="343">
        <v>51305.52</v>
      </c>
      <c r="J45" s="153">
        <f t="shared" si="0"/>
        <v>3.9778706348593236E-3</v>
      </c>
      <c r="K45" s="154">
        <f t="shared" si="2"/>
        <v>0.93958139782387118</v>
      </c>
      <c r="L45" s="344" t="str">
        <f t="shared" si="1"/>
        <v>B</v>
      </c>
      <c r="M45" s="72"/>
    </row>
    <row r="46" spans="2:13" ht="33" customHeight="1">
      <c r="B46" s="572" t="s">
        <v>1172</v>
      </c>
      <c r="C46" s="573"/>
      <c r="D46" s="574" t="s">
        <v>847</v>
      </c>
      <c r="E46" s="574"/>
      <c r="F46" s="341" t="s">
        <v>481</v>
      </c>
      <c r="G46" s="342">
        <v>2</v>
      </c>
      <c r="H46" s="343">
        <v>24798.100000000002</v>
      </c>
      <c r="I46" s="343">
        <v>49596.2</v>
      </c>
      <c r="J46" s="153">
        <f t="shared" si="0"/>
        <v>3.8453419355385151E-3</v>
      </c>
      <c r="K46" s="154">
        <f t="shared" si="2"/>
        <v>0.94342673975940972</v>
      </c>
      <c r="L46" s="344" t="str">
        <f t="shared" si="1"/>
        <v>B</v>
      </c>
      <c r="M46" s="72"/>
    </row>
    <row r="47" spans="2:13" ht="33" customHeight="1">
      <c r="B47" s="572" t="s">
        <v>1236</v>
      </c>
      <c r="C47" s="573"/>
      <c r="D47" s="574" t="s">
        <v>932</v>
      </c>
      <c r="E47" s="574"/>
      <c r="F47" s="341" t="s">
        <v>501</v>
      </c>
      <c r="G47" s="342">
        <v>700</v>
      </c>
      <c r="H47" s="343">
        <v>68.959999999999994</v>
      </c>
      <c r="I47" s="343">
        <v>48272</v>
      </c>
      <c r="J47" s="153">
        <f t="shared" si="0"/>
        <v>3.7426727433213678E-3</v>
      </c>
      <c r="K47" s="154">
        <f t="shared" si="2"/>
        <v>0.94716941250273112</v>
      </c>
      <c r="L47" s="344" t="str">
        <f t="shared" si="1"/>
        <v>B</v>
      </c>
      <c r="M47" s="72"/>
    </row>
    <row r="48" spans="2:13" ht="33" customHeight="1">
      <c r="B48" s="572" t="s">
        <v>1213</v>
      </c>
      <c r="C48" s="573"/>
      <c r="D48" s="574" t="s">
        <v>905</v>
      </c>
      <c r="E48" s="574"/>
      <c r="F48" s="341" t="s">
        <v>501</v>
      </c>
      <c r="G48" s="342">
        <v>400</v>
      </c>
      <c r="H48" s="343">
        <v>116.48000000000002</v>
      </c>
      <c r="I48" s="343">
        <v>46592</v>
      </c>
      <c r="J48" s="153">
        <f t="shared" si="0"/>
        <v>3.6124173114192317E-3</v>
      </c>
      <c r="K48" s="154">
        <f t="shared" si="2"/>
        <v>0.95078182981415038</v>
      </c>
      <c r="L48" s="344" t="str">
        <f t="shared" si="1"/>
        <v>C</v>
      </c>
      <c r="M48" s="72"/>
    </row>
    <row r="49" spans="2:13" ht="33" customHeight="1">
      <c r="B49" s="572" t="s">
        <v>1181</v>
      </c>
      <c r="C49" s="573"/>
      <c r="D49" s="574" t="s">
        <v>898</v>
      </c>
      <c r="E49" s="574"/>
      <c r="F49" s="341" t="s">
        <v>486</v>
      </c>
      <c r="G49" s="342">
        <v>14</v>
      </c>
      <c r="H49" s="343">
        <v>3147.4500000000003</v>
      </c>
      <c r="I49" s="343">
        <v>44064.3</v>
      </c>
      <c r="J49" s="153">
        <f t="shared" si="0"/>
        <v>3.4164371595031438E-3</v>
      </c>
      <c r="K49" s="154">
        <f t="shared" si="2"/>
        <v>0.95419826697365351</v>
      </c>
      <c r="L49" s="344" t="str">
        <f t="shared" si="1"/>
        <v>C</v>
      </c>
      <c r="M49" s="72"/>
    </row>
    <row r="50" spans="2:13" ht="33" customHeight="1">
      <c r="B50" s="572" t="s">
        <v>492</v>
      </c>
      <c r="C50" s="573"/>
      <c r="D50" s="574" t="s">
        <v>1021</v>
      </c>
      <c r="E50" s="574"/>
      <c r="F50" s="341" t="s">
        <v>486</v>
      </c>
      <c r="G50" s="342">
        <v>96</v>
      </c>
      <c r="H50" s="343">
        <v>433.77</v>
      </c>
      <c r="I50" s="343">
        <v>41641.919999999998</v>
      </c>
      <c r="J50" s="153">
        <f t="shared" si="0"/>
        <v>3.228622782639396E-3</v>
      </c>
      <c r="K50" s="154">
        <f t="shared" si="2"/>
        <v>0.95742688975629286</v>
      </c>
      <c r="L50" s="344" t="str">
        <f t="shared" si="1"/>
        <v>C</v>
      </c>
      <c r="M50" s="72"/>
    </row>
    <row r="51" spans="2:13" ht="33" customHeight="1">
      <c r="B51" s="572" t="s">
        <v>660</v>
      </c>
      <c r="C51" s="573"/>
      <c r="D51" s="574" t="s">
        <v>1114</v>
      </c>
      <c r="E51" s="574"/>
      <c r="F51" s="341" t="s">
        <v>487</v>
      </c>
      <c r="G51" s="342">
        <v>220.00000000000003</v>
      </c>
      <c r="H51" s="343">
        <v>185.66000000000003</v>
      </c>
      <c r="I51" s="343">
        <v>40845.199999999997</v>
      </c>
      <c r="J51" s="153">
        <f t="shared" si="0"/>
        <v>3.1668506947197116E-3</v>
      </c>
      <c r="K51" s="154">
        <f t="shared" si="2"/>
        <v>0.96059374045101253</v>
      </c>
      <c r="L51" s="344" t="str">
        <f t="shared" si="1"/>
        <v>C</v>
      </c>
      <c r="M51" s="72"/>
    </row>
    <row r="52" spans="2:13" ht="33" customHeight="1">
      <c r="B52" s="572" t="s">
        <v>499</v>
      </c>
      <c r="C52" s="573"/>
      <c r="D52" s="574" t="s">
        <v>527</v>
      </c>
      <c r="E52" s="574"/>
      <c r="F52" s="341" t="s">
        <v>528</v>
      </c>
      <c r="G52" s="342">
        <v>1320</v>
      </c>
      <c r="H52" s="343">
        <v>27.54</v>
      </c>
      <c r="I52" s="343">
        <v>36352.800000000003</v>
      </c>
      <c r="J52" s="153">
        <f t="shared" si="0"/>
        <v>2.8185414671737866E-3</v>
      </c>
      <c r="K52" s="154">
        <f t="shared" si="2"/>
        <v>0.96341228191818629</v>
      </c>
      <c r="L52" s="344" t="str">
        <f t="shared" si="1"/>
        <v>C</v>
      </c>
      <c r="M52" s="72"/>
    </row>
    <row r="53" spans="2:13" ht="33" customHeight="1">
      <c r="B53" s="572" t="s">
        <v>964</v>
      </c>
      <c r="C53" s="573"/>
      <c r="D53" s="574" t="s">
        <v>950</v>
      </c>
      <c r="E53" s="574"/>
      <c r="F53" s="341" t="s">
        <v>481</v>
      </c>
      <c r="G53" s="342">
        <v>24</v>
      </c>
      <c r="H53" s="343">
        <v>1428.63</v>
      </c>
      <c r="I53" s="343">
        <v>34287.120000000003</v>
      </c>
      <c r="J53" s="153">
        <f t="shared" si="0"/>
        <v>2.6583831096906891E-3</v>
      </c>
      <c r="K53" s="154">
        <f t="shared" si="2"/>
        <v>0.96607066502787697</v>
      </c>
      <c r="L53" s="344" t="str">
        <f t="shared" si="1"/>
        <v>C</v>
      </c>
      <c r="M53" s="72"/>
    </row>
    <row r="54" spans="2:13" ht="33" customHeight="1">
      <c r="B54" s="572" t="s">
        <v>1173</v>
      </c>
      <c r="C54" s="573"/>
      <c r="D54" s="574" t="s">
        <v>1202</v>
      </c>
      <c r="E54" s="574"/>
      <c r="F54" s="341" t="s">
        <v>481</v>
      </c>
      <c r="G54" s="342">
        <v>2</v>
      </c>
      <c r="H54" s="343">
        <v>16000.370000000003</v>
      </c>
      <c r="I54" s="343">
        <v>32000.74</v>
      </c>
      <c r="J54" s="153">
        <f t="shared" si="0"/>
        <v>2.4811132201714003E-3</v>
      </c>
      <c r="K54" s="154">
        <f t="shared" si="2"/>
        <v>0.96855177824804839</v>
      </c>
      <c r="L54" s="344" t="str">
        <f t="shared" si="1"/>
        <v>C</v>
      </c>
      <c r="M54" s="72"/>
    </row>
    <row r="55" spans="2:13" ht="33" customHeight="1">
      <c r="B55" s="572" t="s">
        <v>1169</v>
      </c>
      <c r="C55" s="573"/>
      <c r="D55" s="574" t="s">
        <v>826</v>
      </c>
      <c r="E55" s="574"/>
      <c r="F55" s="341" t="s">
        <v>486</v>
      </c>
      <c r="G55" s="342">
        <v>10</v>
      </c>
      <c r="H55" s="343">
        <v>2849.0499999999997</v>
      </c>
      <c r="I55" s="343">
        <v>28490.5</v>
      </c>
      <c r="J55" s="153">
        <f t="shared" si="0"/>
        <v>2.208953799171309E-3</v>
      </c>
      <c r="K55" s="154">
        <f t="shared" si="2"/>
        <v>0.97076073204721969</v>
      </c>
      <c r="L55" s="344" t="str">
        <f t="shared" si="1"/>
        <v>C</v>
      </c>
      <c r="M55" s="72"/>
    </row>
    <row r="56" spans="2:13" ht="33" customHeight="1">
      <c r="B56" s="572" t="s">
        <v>693</v>
      </c>
      <c r="C56" s="573"/>
      <c r="D56" s="574" t="s">
        <v>1165</v>
      </c>
      <c r="E56" s="574"/>
      <c r="F56" s="341" t="s">
        <v>487</v>
      </c>
      <c r="G56" s="342">
        <v>57.599999999999994</v>
      </c>
      <c r="H56" s="343">
        <v>448.16</v>
      </c>
      <c r="I56" s="343">
        <v>25814.02</v>
      </c>
      <c r="J56" s="153">
        <f t="shared" si="0"/>
        <v>2.0014382882323637E-3</v>
      </c>
      <c r="K56" s="154">
        <f t="shared" si="2"/>
        <v>0.97276217033545209</v>
      </c>
      <c r="L56" s="344" t="str">
        <f t="shared" si="1"/>
        <v>C</v>
      </c>
      <c r="M56" s="72"/>
    </row>
    <row r="57" spans="2:13" ht="33" customHeight="1">
      <c r="B57" s="572" t="s">
        <v>491</v>
      </c>
      <c r="C57" s="573"/>
      <c r="D57" s="574" t="s">
        <v>1017</v>
      </c>
      <c r="E57" s="574"/>
      <c r="F57" s="341" t="s">
        <v>486</v>
      </c>
      <c r="G57" s="342">
        <v>96</v>
      </c>
      <c r="H57" s="343">
        <v>261.77</v>
      </c>
      <c r="I57" s="343">
        <v>25129.919999999998</v>
      </c>
      <c r="J57" s="153">
        <f t="shared" si="0"/>
        <v>1.9483979662298331E-3</v>
      </c>
      <c r="K57" s="154">
        <f t="shared" si="2"/>
        <v>0.9747105683016819</v>
      </c>
      <c r="L57" s="344" t="str">
        <f t="shared" si="1"/>
        <v>C</v>
      </c>
      <c r="M57" s="72"/>
    </row>
    <row r="58" spans="2:13" ht="33" customHeight="1">
      <c r="B58" s="572" t="s">
        <v>692</v>
      </c>
      <c r="C58" s="573"/>
      <c r="D58" s="574" t="s">
        <v>1118</v>
      </c>
      <c r="E58" s="574"/>
      <c r="F58" s="341" t="s">
        <v>979</v>
      </c>
      <c r="G58" s="342">
        <v>12</v>
      </c>
      <c r="H58" s="343">
        <v>1987.68</v>
      </c>
      <c r="I58" s="343">
        <v>23852.16</v>
      </c>
      <c r="J58" s="153">
        <f t="shared" si="0"/>
        <v>1.8493294063088373E-3</v>
      </c>
      <c r="K58" s="154">
        <f t="shared" si="2"/>
        <v>0.97655989770799079</v>
      </c>
      <c r="L58" s="344" t="str">
        <f t="shared" si="1"/>
        <v>C</v>
      </c>
      <c r="M58" s="72"/>
    </row>
    <row r="59" spans="2:13" ht="33" customHeight="1">
      <c r="B59" s="572" t="s">
        <v>652</v>
      </c>
      <c r="C59" s="573"/>
      <c r="D59" s="574" t="s">
        <v>685</v>
      </c>
      <c r="E59" s="574"/>
      <c r="F59" s="341" t="s">
        <v>501</v>
      </c>
      <c r="G59" s="342">
        <v>30</v>
      </c>
      <c r="H59" s="343">
        <v>739.22</v>
      </c>
      <c r="I59" s="343">
        <v>22176.6</v>
      </c>
      <c r="J59" s="153">
        <f t="shared" si="0"/>
        <v>1.7194182209052998E-3</v>
      </c>
      <c r="K59" s="154">
        <f t="shared" si="2"/>
        <v>0.97827931592889605</v>
      </c>
      <c r="L59" s="344" t="str">
        <f t="shared" si="1"/>
        <v>C</v>
      </c>
      <c r="M59" s="72"/>
    </row>
    <row r="60" spans="2:13" ht="33" customHeight="1">
      <c r="B60" s="572" t="s">
        <v>489</v>
      </c>
      <c r="C60" s="573"/>
      <c r="D60" s="574" t="s">
        <v>1013</v>
      </c>
      <c r="E60" s="574"/>
      <c r="F60" s="341" t="s">
        <v>486</v>
      </c>
      <c r="G60" s="342">
        <v>96</v>
      </c>
      <c r="H60" s="343">
        <v>228.76000000000002</v>
      </c>
      <c r="I60" s="343">
        <v>21960.959999999999</v>
      </c>
      <c r="J60" s="153">
        <f t="shared" si="0"/>
        <v>1.7026990058247185E-3</v>
      </c>
      <c r="K60" s="154">
        <f t="shared" si="2"/>
        <v>0.97998201493472081</v>
      </c>
      <c r="L60" s="344" t="str">
        <f t="shared" si="1"/>
        <v>C</v>
      </c>
      <c r="M60" s="57"/>
    </row>
    <row r="61" spans="2:13" ht="33" customHeight="1">
      <c r="B61" s="572" t="s">
        <v>963</v>
      </c>
      <c r="C61" s="573"/>
      <c r="D61" s="574" t="s">
        <v>948</v>
      </c>
      <c r="E61" s="574"/>
      <c r="F61" s="341" t="s">
        <v>481</v>
      </c>
      <c r="G61" s="342">
        <v>24</v>
      </c>
      <c r="H61" s="343">
        <v>843.16000000000008</v>
      </c>
      <c r="I61" s="343">
        <v>20235.84</v>
      </c>
      <c r="J61" s="153">
        <f t="shared" si="0"/>
        <v>1.5689452851800686E-3</v>
      </c>
      <c r="K61" s="154">
        <f t="shared" si="2"/>
        <v>0.98155096021990085</v>
      </c>
      <c r="L61" s="344" t="str">
        <f t="shared" si="1"/>
        <v>C</v>
      </c>
      <c r="M61" s="57"/>
    </row>
    <row r="62" spans="2:13" ht="43.5" customHeight="1">
      <c r="B62" s="572" t="s">
        <v>654</v>
      </c>
      <c r="C62" s="573"/>
      <c r="D62" s="574" t="s">
        <v>688</v>
      </c>
      <c r="E62" s="574"/>
      <c r="F62" s="341" t="s">
        <v>501</v>
      </c>
      <c r="G62" s="342">
        <v>35</v>
      </c>
      <c r="H62" s="343">
        <v>553.25</v>
      </c>
      <c r="I62" s="343">
        <v>19363.75</v>
      </c>
      <c r="J62" s="153">
        <f t="shared" si="0"/>
        <v>1.5013295354136794E-3</v>
      </c>
      <c r="K62" s="154">
        <f t="shared" si="2"/>
        <v>0.98305228975531456</v>
      </c>
      <c r="L62" s="344" t="str">
        <f t="shared" si="1"/>
        <v>C</v>
      </c>
      <c r="M62" s="155"/>
    </row>
    <row r="63" spans="2:13" ht="43.5" customHeight="1">
      <c r="B63" s="572" t="s">
        <v>655</v>
      </c>
      <c r="C63" s="573"/>
      <c r="D63" s="574" t="s">
        <v>689</v>
      </c>
      <c r="E63" s="574"/>
      <c r="F63" s="341" t="s">
        <v>501</v>
      </c>
      <c r="G63" s="342">
        <v>25</v>
      </c>
      <c r="H63" s="343">
        <v>700.49</v>
      </c>
      <c r="I63" s="343">
        <v>17512.25</v>
      </c>
      <c r="J63" s="153">
        <f t="shared" si="0"/>
        <v>1.3577771948382006E-3</v>
      </c>
      <c r="K63" s="154">
        <f t="shared" si="2"/>
        <v>0.98441006695015276</v>
      </c>
      <c r="L63" s="344" t="str">
        <f t="shared" si="1"/>
        <v>C</v>
      </c>
      <c r="M63" s="74"/>
    </row>
    <row r="64" spans="2:13" ht="60" customHeight="1">
      <c r="B64" s="572" t="s">
        <v>1183</v>
      </c>
      <c r="C64" s="573"/>
      <c r="D64" s="574" t="s">
        <v>710</v>
      </c>
      <c r="E64" s="574"/>
      <c r="F64" s="341" t="s">
        <v>501</v>
      </c>
      <c r="G64" s="342">
        <v>720</v>
      </c>
      <c r="H64" s="343">
        <v>22.779999999999998</v>
      </c>
      <c r="I64" s="343">
        <v>16401.599999999999</v>
      </c>
      <c r="J64" s="153">
        <f t="shared" si="0"/>
        <v>1.2716651737417083E-3</v>
      </c>
      <c r="K64" s="154">
        <f t="shared" si="2"/>
        <v>0.98568173212389443</v>
      </c>
      <c r="L64" s="344" t="str">
        <f t="shared" si="1"/>
        <v>C</v>
      </c>
      <c r="M64" s="180"/>
    </row>
    <row r="65" spans="2:13" ht="35.1" customHeight="1">
      <c r="B65" s="572" t="s">
        <v>1188</v>
      </c>
      <c r="C65" s="573"/>
      <c r="D65" s="574" t="s">
        <v>769</v>
      </c>
      <c r="E65" s="574"/>
      <c r="F65" s="341" t="s">
        <v>501</v>
      </c>
      <c r="G65" s="342">
        <v>28.320000000000007</v>
      </c>
      <c r="H65" s="343">
        <v>570.56000000000006</v>
      </c>
      <c r="I65" s="343">
        <v>16158.26</v>
      </c>
      <c r="J65" s="153">
        <f t="shared" si="0"/>
        <v>1.2527982946946455E-3</v>
      </c>
      <c r="K65" s="154">
        <f t="shared" si="2"/>
        <v>0.98693453041858903</v>
      </c>
      <c r="L65" s="344" t="str">
        <f t="shared" si="1"/>
        <v>C</v>
      </c>
      <c r="M65" s="72"/>
    </row>
    <row r="66" spans="2:13" ht="35.1" customHeight="1">
      <c r="B66" s="572" t="s">
        <v>653</v>
      </c>
      <c r="C66" s="573"/>
      <c r="D66" s="574" t="s">
        <v>687</v>
      </c>
      <c r="E66" s="574"/>
      <c r="F66" s="341" t="s">
        <v>501</v>
      </c>
      <c r="G66" s="342">
        <v>35</v>
      </c>
      <c r="H66" s="343">
        <v>459.62</v>
      </c>
      <c r="I66" s="343">
        <v>16086.7</v>
      </c>
      <c r="J66" s="153">
        <f t="shared" si="0"/>
        <v>1.2472500335595758E-3</v>
      </c>
      <c r="K66" s="154">
        <f t="shared" si="2"/>
        <v>0.98818178045214855</v>
      </c>
      <c r="L66" s="344" t="str">
        <f t="shared" si="1"/>
        <v>C</v>
      </c>
      <c r="M66" s="72"/>
    </row>
    <row r="67" spans="2:13" ht="35.1" customHeight="1">
      <c r="B67" s="572" t="s">
        <v>495</v>
      </c>
      <c r="C67" s="573"/>
      <c r="D67" s="574" t="s">
        <v>737</v>
      </c>
      <c r="E67" s="574"/>
      <c r="F67" s="341" t="s">
        <v>487</v>
      </c>
      <c r="G67" s="342">
        <v>640</v>
      </c>
      <c r="H67" s="343">
        <v>24.44</v>
      </c>
      <c r="I67" s="343">
        <v>15641.6</v>
      </c>
      <c r="J67" s="153">
        <f t="shared" si="0"/>
        <v>1.212740097405028E-3</v>
      </c>
      <c r="K67" s="154">
        <f t="shared" si="2"/>
        <v>0.98939452054955357</v>
      </c>
      <c r="L67" s="344" t="str">
        <f t="shared" si="1"/>
        <v>C</v>
      </c>
      <c r="M67" s="72"/>
    </row>
    <row r="68" spans="2:13" ht="35.1" customHeight="1">
      <c r="B68" s="572" t="s">
        <v>1216</v>
      </c>
      <c r="C68" s="573"/>
      <c r="D68" s="574" t="s">
        <v>1240</v>
      </c>
      <c r="E68" s="574"/>
      <c r="F68" s="341" t="s">
        <v>486</v>
      </c>
      <c r="G68" s="342">
        <v>24</v>
      </c>
      <c r="H68" s="343">
        <v>643.7600000000001</v>
      </c>
      <c r="I68" s="343">
        <v>15450.24</v>
      </c>
      <c r="J68" s="153">
        <f t="shared" si="0"/>
        <v>1.1979033834474131E-3</v>
      </c>
      <c r="K68" s="154">
        <f t="shared" si="2"/>
        <v>0.99059242393300095</v>
      </c>
      <c r="L68" s="344" t="str">
        <f t="shared" si="1"/>
        <v>C</v>
      </c>
      <c r="M68" s="72"/>
    </row>
    <row r="69" spans="2:13" ht="51.75" customHeight="1">
      <c r="B69" s="572" t="s">
        <v>1184</v>
      </c>
      <c r="C69" s="573"/>
      <c r="D69" s="574" t="s">
        <v>714</v>
      </c>
      <c r="E69" s="574"/>
      <c r="F69" s="341" t="s">
        <v>501</v>
      </c>
      <c r="G69" s="342">
        <v>720</v>
      </c>
      <c r="H69" s="343">
        <v>21.220000000000002</v>
      </c>
      <c r="I69" s="343">
        <v>15278.4</v>
      </c>
      <c r="J69" s="153">
        <f t="shared" si="0"/>
        <v>1.1845801135557089E-3</v>
      </c>
      <c r="K69" s="154">
        <f t="shared" si="2"/>
        <v>0.99177700404655666</v>
      </c>
      <c r="L69" s="344" t="str">
        <f t="shared" si="1"/>
        <v>C</v>
      </c>
      <c r="M69" s="72"/>
    </row>
    <row r="70" spans="2:13" ht="35.1" customHeight="1">
      <c r="B70" s="572" t="s">
        <v>683</v>
      </c>
      <c r="C70" s="573"/>
      <c r="D70" s="574" t="s">
        <v>1116</v>
      </c>
      <c r="E70" s="574"/>
      <c r="F70" s="341" t="s">
        <v>487</v>
      </c>
      <c r="G70" s="342">
        <v>550</v>
      </c>
      <c r="H70" s="343">
        <v>26.230000000000004</v>
      </c>
      <c r="I70" s="343">
        <v>14426.5</v>
      </c>
      <c r="J70" s="153">
        <f t="shared" si="0"/>
        <v>1.118529754962001E-3</v>
      </c>
      <c r="K70" s="154">
        <f t="shared" si="2"/>
        <v>0.99289553380151863</v>
      </c>
      <c r="L70" s="344" t="str">
        <f t="shared" si="1"/>
        <v>C</v>
      </c>
      <c r="M70" s="72"/>
    </row>
    <row r="71" spans="2:13" ht="35.1" customHeight="1">
      <c r="B71" s="572" t="s">
        <v>1168</v>
      </c>
      <c r="C71" s="573"/>
      <c r="D71" s="574" t="s">
        <v>823</v>
      </c>
      <c r="E71" s="574"/>
      <c r="F71" s="341" t="s">
        <v>486</v>
      </c>
      <c r="G71" s="342">
        <v>3.5</v>
      </c>
      <c r="H71" s="343">
        <v>3570.89</v>
      </c>
      <c r="I71" s="343">
        <v>12498.12</v>
      </c>
      <c r="J71" s="153">
        <f t="shared" si="0"/>
        <v>9.6901667771709594E-4</v>
      </c>
      <c r="K71" s="154">
        <f t="shared" si="2"/>
        <v>0.99386455047923572</v>
      </c>
      <c r="L71" s="344" t="str">
        <f t="shared" si="1"/>
        <v>C</v>
      </c>
      <c r="M71" s="72"/>
    </row>
    <row r="72" spans="2:13" ht="35.1" customHeight="1">
      <c r="B72" s="572" t="s">
        <v>1174</v>
      </c>
      <c r="C72" s="573"/>
      <c r="D72" s="574" t="s">
        <v>1205</v>
      </c>
      <c r="E72" s="574"/>
      <c r="F72" s="341" t="s">
        <v>481</v>
      </c>
      <c r="G72" s="342">
        <v>2</v>
      </c>
      <c r="H72" s="343">
        <v>5196.8500000000004</v>
      </c>
      <c r="I72" s="343">
        <v>10393.700000000001</v>
      </c>
      <c r="J72" s="153">
        <f t="shared" si="0"/>
        <v>8.0585469200073129E-4</v>
      </c>
      <c r="K72" s="154">
        <f t="shared" si="2"/>
        <v>0.9946704051712365</v>
      </c>
      <c r="L72" s="344" t="str">
        <f t="shared" si="1"/>
        <v>C</v>
      </c>
      <c r="M72" s="72"/>
    </row>
    <row r="73" spans="2:13" ht="35.1" customHeight="1">
      <c r="B73" s="572" t="s">
        <v>656</v>
      </c>
      <c r="C73" s="573"/>
      <c r="D73" s="574" t="s">
        <v>946</v>
      </c>
      <c r="E73" s="574"/>
      <c r="F73" s="341" t="s">
        <v>481</v>
      </c>
      <c r="G73" s="342">
        <v>24</v>
      </c>
      <c r="H73" s="343">
        <v>417.31</v>
      </c>
      <c r="I73" s="343">
        <v>10015.44</v>
      </c>
      <c r="J73" s="153">
        <f t="shared" si="0"/>
        <v>7.7652706124400396E-4</v>
      </c>
      <c r="K73" s="154">
        <f t="shared" si="2"/>
        <v>0.99544693223248049</v>
      </c>
      <c r="L73" s="344" t="str">
        <f t="shared" si="1"/>
        <v>C</v>
      </c>
      <c r="M73" s="72"/>
    </row>
    <row r="74" spans="2:13" ht="35.1" customHeight="1">
      <c r="B74" s="572" t="s">
        <v>1194</v>
      </c>
      <c r="C74" s="573"/>
      <c r="D74" s="574" t="s">
        <v>1005</v>
      </c>
      <c r="E74" s="574"/>
      <c r="F74" s="341" t="s">
        <v>1006</v>
      </c>
      <c r="G74" s="342">
        <v>1000</v>
      </c>
      <c r="H74" s="343">
        <v>9.69</v>
      </c>
      <c r="I74" s="343">
        <v>9690</v>
      </c>
      <c r="J74" s="153">
        <f t="shared" si="0"/>
        <v>7.5129472329267598E-4</v>
      </c>
      <c r="K74" s="154">
        <f t="shared" si="2"/>
        <v>0.9961982269557732</v>
      </c>
      <c r="L74" s="344" t="str">
        <f t="shared" si="1"/>
        <v>C</v>
      </c>
      <c r="M74" s="72"/>
    </row>
    <row r="75" spans="2:13" ht="56.25" customHeight="1">
      <c r="B75" s="572" t="s">
        <v>515</v>
      </c>
      <c r="C75" s="573"/>
      <c r="D75" s="574" t="s">
        <v>697</v>
      </c>
      <c r="E75" s="574"/>
      <c r="F75" s="341" t="s">
        <v>501</v>
      </c>
      <c r="G75" s="342">
        <v>720</v>
      </c>
      <c r="H75" s="343">
        <v>11.809999999999999</v>
      </c>
      <c r="I75" s="343">
        <v>8503.2000000000007</v>
      </c>
      <c r="J75" s="153">
        <f t="shared" si="0"/>
        <v>6.5927856461323866E-4</v>
      </c>
      <c r="K75" s="154">
        <f t="shared" si="2"/>
        <v>0.99685750552038643</v>
      </c>
      <c r="L75" s="344" t="str">
        <f t="shared" si="1"/>
        <v>C</v>
      </c>
      <c r="M75" s="72"/>
    </row>
    <row r="76" spans="2:13" ht="56.25" customHeight="1">
      <c r="B76" s="572" t="s">
        <v>516</v>
      </c>
      <c r="C76" s="573"/>
      <c r="D76" s="574" t="s">
        <v>698</v>
      </c>
      <c r="E76" s="574"/>
      <c r="F76" s="341" t="s">
        <v>501</v>
      </c>
      <c r="G76" s="342">
        <v>720</v>
      </c>
      <c r="H76" s="343">
        <v>11.43</v>
      </c>
      <c r="I76" s="343">
        <v>8229.6</v>
      </c>
      <c r="J76" s="153">
        <f t="shared" ref="J76:J83" si="3">I76/$O$11</f>
        <v>6.3806553713203367E-4</v>
      </c>
      <c r="K76" s="154">
        <f t="shared" si="2"/>
        <v>0.99749557105751852</v>
      </c>
      <c r="L76" s="344" t="str">
        <f t="shared" ref="L76:L83" si="4">IF(K76&lt;=$R$12,"A",IF(K76&lt;=$R$13,"B","C"))</f>
        <v>C</v>
      </c>
      <c r="M76" s="72"/>
    </row>
    <row r="77" spans="2:13" ht="27" customHeight="1">
      <c r="B77" s="572" t="s">
        <v>1175</v>
      </c>
      <c r="C77" s="573"/>
      <c r="D77" s="574" t="s">
        <v>1212</v>
      </c>
      <c r="E77" s="574"/>
      <c r="F77" s="341" t="s">
        <v>481</v>
      </c>
      <c r="G77" s="342">
        <v>2</v>
      </c>
      <c r="H77" s="343">
        <v>3997.08</v>
      </c>
      <c r="I77" s="343">
        <v>7994.16</v>
      </c>
      <c r="J77" s="153">
        <f t="shared" si="3"/>
        <v>6.1981116874689141E-4</v>
      </c>
      <c r="K77" s="154">
        <f t="shared" ref="K77:K83" si="5">+J77+K76</f>
        <v>0.99811538222626539</v>
      </c>
      <c r="L77" s="344" t="str">
        <f t="shared" si="4"/>
        <v>C</v>
      </c>
      <c r="M77" s="72"/>
    </row>
    <row r="78" spans="2:13" ht="27" customHeight="1">
      <c r="B78" s="572" t="s">
        <v>1178</v>
      </c>
      <c r="C78" s="573"/>
      <c r="D78" s="574" t="s">
        <v>851</v>
      </c>
      <c r="E78" s="574"/>
      <c r="F78" s="341" t="s">
        <v>481</v>
      </c>
      <c r="G78" s="342">
        <v>4</v>
      </c>
      <c r="H78" s="343">
        <v>1643.57</v>
      </c>
      <c r="I78" s="343">
        <v>6574.28</v>
      </c>
      <c r="J78" s="153">
        <f t="shared" si="3"/>
        <v>5.0972361955093639E-4</v>
      </c>
      <c r="K78" s="154">
        <f t="shared" si="5"/>
        <v>0.99862510584581632</v>
      </c>
      <c r="L78" s="344" t="str">
        <f t="shared" si="4"/>
        <v>C</v>
      </c>
      <c r="M78" s="72"/>
    </row>
    <row r="79" spans="2:13" ht="27" customHeight="1">
      <c r="B79" s="572" t="s">
        <v>1215</v>
      </c>
      <c r="C79" s="573"/>
      <c r="D79" s="574" t="s">
        <v>1238</v>
      </c>
      <c r="E79" s="574"/>
      <c r="F79" s="341" t="s">
        <v>486</v>
      </c>
      <c r="G79" s="342">
        <v>24</v>
      </c>
      <c r="H79" s="343">
        <v>270.27</v>
      </c>
      <c r="I79" s="343">
        <v>6486.48</v>
      </c>
      <c r="J79" s="153">
        <f t="shared" si="3"/>
        <v>5.0291622257414613E-4</v>
      </c>
      <c r="K79" s="154">
        <f t="shared" si="5"/>
        <v>0.99912802206839046</v>
      </c>
      <c r="L79" s="344" t="str">
        <f t="shared" si="4"/>
        <v>C</v>
      </c>
      <c r="M79" s="72"/>
    </row>
    <row r="80" spans="2:13" ht="27" customHeight="1">
      <c r="B80" s="572" t="s">
        <v>496</v>
      </c>
      <c r="C80" s="573"/>
      <c r="D80" s="574" t="s">
        <v>750</v>
      </c>
      <c r="E80" s="574"/>
      <c r="F80" s="341" t="s">
        <v>487</v>
      </c>
      <c r="G80" s="342">
        <v>102.4</v>
      </c>
      <c r="H80" s="343">
        <v>54.16</v>
      </c>
      <c r="I80" s="343">
        <v>5545.98</v>
      </c>
      <c r="J80" s="153">
        <f t="shared" si="3"/>
        <v>4.2999644060750408E-4</v>
      </c>
      <c r="K80" s="154">
        <f t="shared" si="5"/>
        <v>0.99955801850899795</v>
      </c>
      <c r="L80" s="344" t="str">
        <f t="shared" si="4"/>
        <v>C</v>
      </c>
      <c r="M80" s="72"/>
    </row>
    <row r="81" spans="2:13" ht="54.75" customHeight="1">
      <c r="B81" s="572" t="s">
        <v>1192</v>
      </c>
      <c r="C81" s="573"/>
      <c r="D81" s="574" t="s">
        <v>973</v>
      </c>
      <c r="E81" s="574"/>
      <c r="F81" s="341" t="s">
        <v>487</v>
      </c>
      <c r="G81" s="342">
        <v>20000</v>
      </c>
      <c r="H81" s="343">
        <v>0.25000000000000006</v>
      </c>
      <c r="I81" s="343">
        <v>5000</v>
      </c>
      <c r="J81" s="153">
        <f t="shared" si="3"/>
        <v>3.8766497589921357E-4</v>
      </c>
      <c r="K81" s="154">
        <f t="shared" si="5"/>
        <v>0.99994568348489721</v>
      </c>
      <c r="L81" s="344" t="str">
        <f t="shared" si="4"/>
        <v>C</v>
      </c>
      <c r="M81" s="57"/>
    </row>
    <row r="82" spans="2:13" ht="32.25" customHeight="1">
      <c r="B82" s="572" t="s">
        <v>1189</v>
      </c>
      <c r="C82" s="573"/>
      <c r="D82" s="574" t="s">
        <v>880</v>
      </c>
      <c r="E82" s="574"/>
      <c r="F82" s="341" t="s">
        <v>486</v>
      </c>
      <c r="G82" s="342">
        <v>50.4</v>
      </c>
      <c r="H82" s="343">
        <v>8.6999999999999993</v>
      </c>
      <c r="I82" s="343">
        <v>438.48</v>
      </c>
      <c r="J82" s="153">
        <f t="shared" si="3"/>
        <v>3.3996667726457437E-5</v>
      </c>
      <c r="K82" s="154">
        <f t="shared" si="5"/>
        <v>0.99997968015262362</v>
      </c>
      <c r="L82" s="344" t="str">
        <f t="shared" si="4"/>
        <v>C</v>
      </c>
      <c r="M82" s="155"/>
    </row>
    <row r="83" spans="2:13" ht="32.25" customHeight="1" thickBot="1">
      <c r="B83" s="569" t="s">
        <v>1191</v>
      </c>
      <c r="C83" s="570"/>
      <c r="D83" s="571" t="s">
        <v>885</v>
      </c>
      <c r="E83" s="571"/>
      <c r="F83" s="345" t="s">
        <v>886</v>
      </c>
      <c r="G83" s="346">
        <v>124.80000000000001</v>
      </c>
      <c r="H83" s="347">
        <v>2.1</v>
      </c>
      <c r="I83" s="347">
        <v>262.08</v>
      </c>
      <c r="J83" s="163">
        <f t="shared" si="3"/>
        <v>2.0319847376733177E-5</v>
      </c>
      <c r="K83" s="164">
        <f t="shared" si="5"/>
        <v>1.0000000000000004</v>
      </c>
      <c r="L83" s="339" t="str">
        <f t="shared" si="4"/>
        <v>C</v>
      </c>
      <c r="M83" s="155"/>
    </row>
  </sheetData>
  <sortState ref="B9:L83">
    <sortCondition descending="1" ref="I9:I83"/>
  </sortState>
  <mergeCells count="152">
    <mergeCell ref="D1:I3"/>
    <mergeCell ref="J4:J7"/>
    <mergeCell ref="E7:F7"/>
    <mergeCell ref="B8:L8"/>
    <mergeCell ref="B9:C9"/>
    <mergeCell ref="D9:E9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B19:C19"/>
    <mergeCell ref="D19:E19"/>
    <mergeCell ref="B20:C20"/>
    <mergeCell ref="D20:E20"/>
    <mergeCell ref="B21:C21"/>
    <mergeCell ref="D21:E21"/>
    <mergeCell ref="D15:E15"/>
    <mergeCell ref="B16:C16"/>
    <mergeCell ref="D16:E16"/>
    <mergeCell ref="B17:C17"/>
    <mergeCell ref="D17:E17"/>
    <mergeCell ref="B18:C18"/>
    <mergeCell ref="D18:E18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D44:E44"/>
    <mergeCell ref="B45:C45"/>
    <mergeCell ref="D45:E45"/>
    <mergeCell ref="B46:C46"/>
    <mergeCell ref="D46:E46"/>
    <mergeCell ref="B47:C47"/>
    <mergeCell ref="D47:E47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B68:C68"/>
    <mergeCell ref="D68:E68"/>
    <mergeCell ref="B69:C69"/>
    <mergeCell ref="D69:E69"/>
    <mergeCell ref="B70:C70"/>
    <mergeCell ref="D70:E70"/>
    <mergeCell ref="D64:E64"/>
    <mergeCell ref="B65:C65"/>
    <mergeCell ref="D65:E65"/>
    <mergeCell ref="B66:C66"/>
    <mergeCell ref="D66:E66"/>
    <mergeCell ref="B67:C67"/>
    <mergeCell ref="D67:E67"/>
    <mergeCell ref="B74:C74"/>
    <mergeCell ref="D74:E74"/>
    <mergeCell ref="B75:C75"/>
    <mergeCell ref="D75:E75"/>
    <mergeCell ref="B76:C76"/>
    <mergeCell ref="D76:E76"/>
    <mergeCell ref="B71:C71"/>
    <mergeCell ref="D71:E71"/>
    <mergeCell ref="B72:C72"/>
    <mergeCell ref="D72:E72"/>
    <mergeCell ref="B73:C73"/>
    <mergeCell ref="D73:E73"/>
    <mergeCell ref="B83:C83"/>
    <mergeCell ref="D83:E83"/>
    <mergeCell ref="B80:C80"/>
    <mergeCell ref="D80:E80"/>
    <mergeCell ref="B81:C81"/>
    <mergeCell ref="D81:E81"/>
    <mergeCell ref="B82:C82"/>
    <mergeCell ref="D82:E82"/>
    <mergeCell ref="B77:C77"/>
    <mergeCell ref="D77:E77"/>
    <mergeCell ref="B78:C78"/>
    <mergeCell ref="D78:E78"/>
    <mergeCell ref="B79:C79"/>
    <mergeCell ref="D79:E79"/>
  </mergeCells>
  <conditionalFormatting sqref="L11">
    <cfRule type="cellIs" dxfId="3" priority="4" operator="equal">
      <formula>"A"</formula>
    </cfRule>
  </conditionalFormatting>
  <conditionalFormatting sqref="L11:L83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51181102362204722" right="0.51181102362204722" top="0.78740157480314965" bottom="0.78740157480314965" header="0.31496062992125984" footer="0.31496062992125984"/>
  <pageSetup paperSize="9" scale="68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60" zoomScaleNormal="100" workbookViewId="0">
      <selection activeCell="M29" sqref="M29"/>
    </sheetView>
  </sheetViews>
  <sheetFormatPr defaultRowHeight="15"/>
  <cols>
    <col min="1" max="1" width="5.28515625" style="306" customWidth="1"/>
    <col min="3" max="3" width="59.42578125" customWidth="1"/>
    <col min="4" max="4" width="16.85546875" customWidth="1"/>
    <col min="5" max="5" width="14.85546875" customWidth="1"/>
  </cols>
  <sheetData>
    <row r="1" spans="2:5" ht="22.5" customHeight="1" thickBot="1">
      <c r="B1" s="586" t="s">
        <v>1027</v>
      </c>
      <c r="C1" s="587"/>
      <c r="D1" s="587"/>
      <c r="E1" s="588"/>
    </row>
    <row r="2" spans="2:5" ht="15.75" thickBot="1">
      <c r="B2" s="589" t="s">
        <v>478</v>
      </c>
      <c r="C2" s="590"/>
      <c r="D2" s="263">
        <v>259.32</v>
      </c>
      <c r="E2" s="264">
        <v>259315</v>
      </c>
    </row>
    <row r="3" spans="2:5" ht="18" customHeight="1" thickBot="1">
      <c r="B3" s="265" t="s">
        <v>1096</v>
      </c>
      <c r="C3" s="266" t="s">
        <v>1028</v>
      </c>
      <c r="D3" s="266" t="s">
        <v>1029</v>
      </c>
      <c r="E3" s="266" t="s">
        <v>1030</v>
      </c>
    </row>
    <row r="4" spans="2:5" ht="17.25" customHeight="1">
      <c r="B4" s="267">
        <v>1</v>
      </c>
      <c r="C4" s="268" t="s">
        <v>1031</v>
      </c>
      <c r="D4" s="268">
        <v>7.9</v>
      </c>
      <c r="E4" s="269">
        <v>7900</v>
      </c>
    </row>
    <row r="5" spans="2:5">
      <c r="B5" s="270">
        <f>B4+1</f>
        <v>2</v>
      </c>
      <c r="C5" s="271" t="s">
        <v>1032</v>
      </c>
      <c r="D5" s="271">
        <v>6.42</v>
      </c>
      <c r="E5" s="272">
        <v>6420</v>
      </c>
    </row>
    <row r="6" spans="2:5">
      <c r="B6" s="270">
        <f t="shared" ref="B6:B69" si="0">B5+1</f>
        <v>3</v>
      </c>
      <c r="C6" s="271" t="s">
        <v>1033</v>
      </c>
      <c r="D6" s="271">
        <v>5.62</v>
      </c>
      <c r="E6" s="272">
        <v>5620</v>
      </c>
    </row>
    <row r="7" spans="2:5">
      <c r="B7" s="270">
        <f t="shared" si="0"/>
        <v>4</v>
      </c>
      <c r="C7" s="271" t="s">
        <v>1034</v>
      </c>
      <c r="D7" s="271">
        <v>11.6</v>
      </c>
      <c r="E7" s="272">
        <v>11690</v>
      </c>
    </row>
    <row r="8" spans="2:5">
      <c r="B8" s="270">
        <f t="shared" si="0"/>
        <v>5</v>
      </c>
      <c r="C8" s="271" t="s">
        <v>1035</v>
      </c>
      <c r="D8" s="271">
        <v>1.65</v>
      </c>
      <c r="E8" s="272">
        <v>1650</v>
      </c>
    </row>
    <row r="9" spans="2:5">
      <c r="B9" s="270">
        <f t="shared" si="0"/>
        <v>6</v>
      </c>
      <c r="C9" s="271" t="s">
        <v>1036</v>
      </c>
      <c r="D9" s="271">
        <v>3.08</v>
      </c>
      <c r="E9" s="272">
        <v>3080</v>
      </c>
    </row>
    <row r="10" spans="2:5">
      <c r="B10" s="270">
        <f t="shared" si="0"/>
        <v>7</v>
      </c>
      <c r="C10" s="271" t="s">
        <v>1037</v>
      </c>
      <c r="D10" s="271">
        <v>0.59</v>
      </c>
      <c r="E10" s="273">
        <v>590</v>
      </c>
    </row>
    <row r="11" spans="2:5">
      <c r="B11" s="270">
        <f t="shared" si="0"/>
        <v>8</v>
      </c>
      <c r="C11" s="271" t="s">
        <v>1038</v>
      </c>
      <c r="D11" s="271">
        <v>0.55000000000000004</v>
      </c>
      <c r="E11" s="273">
        <v>550</v>
      </c>
    </row>
    <row r="12" spans="2:5">
      <c r="B12" s="270">
        <f t="shared" si="0"/>
        <v>9</v>
      </c>
      <c r="C12" s="271" t="s">
        <v>1039</v>
      </c>
      <c r="D12" s="271">
        <v>4.74</v>
      </c>
      <c r="E12" s="272">
        <v>4740</v>
      </c>
    </row>
    <row r="13" spans="2:5">
      <c r="B13" s="270">
        <f t="shared" si="0"/>
        <v>10</v>
      </c>
      <c r="C13" s="271" t="s">
        <v>1040</v>
      </c>
      <c r="D13" s="271">
        <v>1.32</v>
      </c>
      <c r="E13" s="272">
        <v>1320</v>
      </c>
    </row>
    <row r="14" spans="2:5">
      <c r="B14" s="270">
        <f t="shared" si="0"/>
        <v>11</v>
      </c>
      <c r="C14" s="271" t="s">
        <v>1041</v>
      </c>
      <c r="D14" s="271">
        <v>2.29</v>
      </c>
      <c r="E14" s="272">
        <v>2290</v>
      </c>
    </row>
    <row r="15" spans="2:5">
      <c r="B15" s="270">
        <f t="shared" si="0"/>
        <v>12</v>
      </c>
      <c r="C15" s="271" t="s">
        <v>1042</v>
      </c>
      <c r="D15" s="271">
        <v>0.64</v>
      </c>
      <c r="E15" s="273">
        <v>640</v>
      </c>
    </row>
    <row r="16" spans="2:5">
      <c r="B16" s="270">
        <f t="shared" si="0"/>
        <v>13</v>
      </c>
      <c r="C16" s="271" t="s">
        <v>1043</v>
      </c>
      <c r="D16" s="271">
        <v>0.15</v>
      </c>
      <c r="E16" s="273">
        <v>150</v>
      </c>
    </row>
    <row r="17" spans="2:5">
      <c r="B17" s="270">
        <f t="shared" si="0"/>
        <v>14</v>
      </c>
      <c r="C17" s="271" t="s">
        <v>1044</v>
      </c>
      <c r="D17" s="271">
        <v>0.82</v>
      </c>
      <c r="E17" s="273">
        <v>820</v>
      </c>
    </row>
    <row r="18" spans="2:5">
      <c r="B18" s="270">
        <f t="shared" si="0"/>
        <v>15</v>
      </c>
      <c r="C18" s="271" t="s">
        <v>1045</v>
      </c>
      <c r="D18" s="271">
        <v>3.02</v>
      </c>
      <c r="E18" s="272">
        <v>3020</v>
      </c>
    </row>
    <row r="19" spans="2:5">
      <c r="B19" s="270">
        <f t="shared" si="0"/>
        <v>16</v>
      </c>
      <c r="C19" s="271" t="s">
        <v>1046</v>
      </c>
      <c r="D19" s="271">
        <v>0.67</v>
      </c>
      <c r="E19" s="273">
        <v>670</v>
      </c>
    </row>
    <row r="20" spans="2:5">
      <c r="B20" s="270">
        <f t="shared" si="0"/>
        <v>17</v>
      </c>
      <c r="C20" s="271" t="s">
        <v>1047</v>
      </c>
      <c r="D20" s="271">
        <v>3.19</v>
      </c>
      <c r="E20" s="272">
        <v>3190</v>
      </c>
    </row>
    <row r="21" spans="2:5">
      <c r="B21" s="270">
        <f t="shared" si="0"/>
        <v>18</v>
      </c>
      <c r="C21" s="271" t="s">
        <v>1048</v>
      </c>
      <c r="D21" s="271">
        <v>1.79</v>
      </c>
      <c r="E21" s="272">
        <v>1790</v>
      </c>
    </row>
    <row r="22" spans="2:5">
      <c r="B22" s="270">
        <f t="shared" si="0"/>
        <v>19</v>
      </c>
      <c r="C22" s="271" t="s">
        <v>1049</v>
      </c>
      <c r="D22" s="271">
        <v>8.94</v>
      </c>
      <c r="E22" s="272">
        <v>8940</v>
      </c>
    </row>
    <row r="23" spans="2:5">
      <c r="B23" s="270">
        <f t="shared" si="0"/>
        <v>20</v>
      </c>
      <c r="C23" s="271" t="s">
        <v>1050</v>
      </c>
      <c r="D23" s="271">
        <v>1.27</v>
      </c>
      <c r="E23" s="272">
        <v>1265</v>
      </c>
    </row>
    <row r="24" spans="2:5" ht="19.5" customHeight="1">
      <c r="B24" s="270">
        <f t="shared" si="0"/>
        <v>21</v>
      </c>
      <c r="C24" s="271" t="s">
        <v>1051</v>
      </c>
      <c r="D24" s="271">
        <v>2.29</v>
      </c>
      <c r="E24" s="272">
        <v>2290</v>
      </c>
    </row>
    <row r="25" spans="2:5">
      <c r="B25" s="270">
        <f t="shared" si="0"/>
        <v>22</v>
      </c>
      <c r="C25" s="271" t="s">
        <v>1052</v>
      </c>
      <c r="D25" s="271">
        <v>2.4700000000000002</v>
      </c>
      <c r="E25" s="272">
        <v>2470</v>
      </c>
    </row>
    <row r="26" spans="2:5">
      <c r="B26" s="270">
        <f t="shared" si="0"/>
        <v>23</v>
      </c>
      <c r="C26" s="271" t="s">
        <v>1053</v>
      </c>
      <c r="D26" s="271">
        <v>4.9800000000000004</v>
      </c>
      <c r="E26" s="272">
        <v>4980</v>
      </c>
    </row>
    <row r="27" spans="2:5">
      <c r="B27" s="270">
        <f t="shared" si="0"/>
        <v>24</v>
      </c>
      <c r="C27" s="271" t="s">
        <v>1054</v>
      </c>
      <c r="D27" s="271">
        <v>6.65</v>
      </c>
      <c r="E27" s="272">
        <v>6650</v>
      </c>
    </row>
    <row r="28" spans="2:5">
      <c r="B28" s="270">
        <f t="shared" si="0"/>
        <v>25</v>
      </c>
      <c r="C28" s="271" t="s">
        <v>1055</v>
      </c>
      <c r="D28" s="271">
        <v>3.92</v>
      </c>
      <c r="E28" s="272">
        <v>3920</v>
      </c>
    </row>
    <row r="29" spans="2:5">
      <c r="B29" s="270">
        <f t="shared" si="0"/>
        <v>26</v>
      </c>
      <c r="C29" s="271" t="s">
        <v>1056</v>
      </c>
      <c r="D29" s="271">
        <v>7.42</v>
      </c>
      <c r="E29" s="272">
        <v>7420</v>
      </c>
    </row>
    <row r="30" spans="2:5">
      <c r="B30" s="270">
        <f t="shared" si="0"/>
        <v>27</v>
      </c>
      <c r="C30" s="271" t="s">
        <v>1057</v>
      </c>
      <c r="D30" s="271">
        <v>0.23</v>
      </c>
      <c r="E30" s="273">
        <v>230</v>
      </c>
    </row>
    <row r="31" spans="2:5">
      <c r="B31" s="270">
        <f t="shared" si="0"/>
        <v>28</v>
      </c>
      <c r="C31" s="271" t="s">
        <v>1058</v>
      </c>
      <c r="D31" s="271">
        <v>5.0599999999999996</v>
      </c>
      <c r="E31" s="272">
        <v>5060</v>
      </c>
    </row>
    <row r="32" spans="2:5">
      <c r="B32" s="270">
        <f t="shared" si="0"/>
        <v>29</v>
      </c>
      <c r="C32" s="271" t="s">
        <v>1059</v>
      </c>
      <c r="D32" s="271">
        <v>2.98</v>
      </c>
      <c r="E32" s="272">
        <v>2980</v>
      </c>
    </row>
    <row r="33" spans="2:5">
      <c r="B33" s="270">
        <f t="shared" si="0"/>
        <v>30</v>
      </c>
      <c r="C33" s="271" t="s">
        <v>1059</v>
      </c>
      <c r="D33" s="271">
        <v>4.72</v>
      </c>
      <c r="E33" s="272">
        <v>4720</v>
      </c>
    </row>
    <row r="34" spans="2:5">
      <c r="B34" s="270">
        <f t="shared" si="0"/>
        <v>31</v>
      </c>
      <c r="C34" s="271" t="s">
        <v>1060</v>
      </c>
      <c r="D34" s="271">
        <v>6.6</v>
      </c>
      <c r="E34" s="272">
        <v>6600</v>
      </c>
    </row>
    <row r="35" spans="2:5">
      <c r="B35" s="270">
        <f t="shared" si="0"/>
        <v>32</v>
      </c>
      <c r="C35" s="271" t="s">
        <v>1061</v>
      </c>
      <c r="D35" s="271">
        <v>2.4900000000000002</v>
      </c>
      <c r="E35" s="272">
        <v>2490</v>
      </c>
    </row>
    <row r="36" spans="2:5">
      <c r="B36" s="270">
        <f t="shared" si="0"/>
        <v>33</v>
      </c>
      <c r="C36" s="271" t="s">
        <v>1062</v>
      </c>
      <c r="D36" s="271">
        <v>3.27</v>
      </c>
      <c r="E36" s="272">
        <v>3720</v>
      </c>
    </row>
    <row r="37" spans="2:5">
      <c r="B37" s="270">
        <f t="shared" si="0"/>
        <v>34</v>
      </c>
      <c r="C37" s="271" t="s">
        <v>1063</v>
      </c>
      <c r="D37" s="271">
        <v>1.51</v>
      </c>
      <c r="E37" s="272">
        <v>1510</v>
      </c>
    </row>
    <row r="38" spans="2:5">
      <c r="B38" s="270">
        <f t="shared" si="0"/>
        <v>35</v>
      </c>
      <c r="C38" s="271" t="s">
        <v>1064</v>
      </c>
      <c r="D38" s="271">
        <v>9.24</v>
      </c>
      <c r="E38" s="272">
        <v>9240</v>
      </c>
    </row>
    <row r="39" spans="2:5">
      <c r="B39" s="270">
        <f t="shared" si="0"/>
        <v>36</v>
      </c>
      <c r="C39" s="271" t="s">
        <v>1065</v>
      </c>
      <c r="D39" s="271">
        <v>5.93</v>
      </c>
      <c r="E39" s="272">
        <v>5930</v>
      </c>
    </row>
    <row r="40" spans="2:5">
      <c r="B40" s="270">
        <f t="shared" si="0"/>
        <v>37</v>
      </c>
      <c r="C40" s="271" t="s">
        <v>1066</v>
      </c>
      <c r="D40" s="271">
        <v>3.08</v>
      </c>
      <c r="E40" s="272">
        <v>3080</v>
      </c>
    </row>
    <row r="41" spans="2:5">
      <c r="B41" s="270">
        <f t="shared" si="0"/>
        <v>38</v>
      </c>
      <c r="C41" s="271" t="s">
        <v>1067</v>
      </c>
      <c r="D41" s="271">
        <v>3.78</v>
      </c>
      <c r="E41" s="272">
        <v>3780</v>
      </c>
    </row>
    <row r="42" spans="2:5">
      <c r="B42" s="270">
        <f t="shared" si="0"/>
        <v>39</v>
      </c>
      <c r="C42" s="271" t="s">
        <v>1068</v>
      </c>
      <c r="D42" s="271">
        <v>1.42</v>
      </c>
      <c r="E42" s="272">
        <v>1420</v>
      </c>
    </row>
    <row r="43" spans="2:5">
      <c r="B43" s="270">
        <f t="shared" si="0"/>
        <v>40</v>
      </c>
      <c r="C43" s="271" t="s">
        <v>1069</v>
      </c>
      <c r="D43" s="271">
        <v>6.23</v>
      </c>
      <c r="E43" s="272">
        <v>6230</v>
      </c>
    </row>
    <row r="44" spans="2:5">
      <c r="B44" s="270">
        <f t="shared" si="0"/>
        <v>41</v>
      </c>
      <c r="C44" s="271" t="s">
        <v>1070</v>
      </c>
      <c r="D44" s="271">
        <v>2.71</v>
      </c>
      <c r="E44" s="272">
        <v>2710</v>
      </c>
    </row>
    <row r="45" spans="2:5">
      <c r="B45" s="270">
        <f t="shared" si="0"/>
        <v>42</v>
      </c>
      <c r="C45" s="271" t="s">
        <v>1071</v>
      </c>
      <c r="D45" s="271">
        <v>2.76</v>
      </c>
      <c r="E45" s="272">
        <v>2760</v>
      </c>
    </row>
    <row r="46" spans="2:5">
      <c r="B46" s="270">
        <f t="shared" si="0"/>
        <v>43</v>
      </c>
      <c r="C46" s="271" t="s">
        <v>1072</v>
      </c>
      <c r="D46" s="271">
        <v>2.94</v>
      </c>
      <c r="E46" s="272">
        <v>2940</v>
      </c>
    </row>
    <row r="47" spans="2:5">
      <c r="B47" s="270">
        <f t="shared" si="0"/>
        <v>44</v>
      </c>
      <c r="C47" s="271" t="s">
        <v>1073</v>
      </c>
      <c r="D47" s="271">
        <v>0.57999999999999996</v>
      </c>
      <c r="E47" s="273">
        <v>580</v>
      </c>
    </row>
    <row r="48" spans="2:5">
      <c r="B48" s="270">
        <f t="shared" si="0"/>
        <v>45</v>
      </c>
      <c r="C48" s="271" t="s">
        <v>1074</v>
      </c>
      <c r="D48" s="271">
        <v>0.6</v>
      </c>
      <c r="E48" s="273">
        <v>600</v>
      </c>
    </row>
    <row r="49" spans="2:5">
      <c r="B49" s="270">
        <f t="shared" si="0"/>
        <v>46</v>
      </c>
      <c r="C49" s="271" t="s">
        <v>1074</v>
      </c>
      <c r="D49" s="271">
        <v>3.56</v>
      </c>
      <c r="E49" s="272">
        <v>3560</v>
      </c>
    </row>
    <row r="50" spans="2:5">
      <c r="B50" s="270">
        <f t="shared" si="0"/>
        <v>47</v>
      </c>
      <c r="C50" s="271" t="s">
        <v>1075</v>
      </c>
      <c r="D50" s="271">
        <v>4.3</v>
      </c>
      <c r="E50" s="272">
        <v>4300</v>
      </c>
    </row>
    <row r="51" spans="2:5">
      <c r="B51" s="270">
        <f t="shared" si="0"/>
        <v>48</v>
      </c>
      <c r="C51" s="271" t="s">
        <v>1076</v>
      </c>
      <c r="D51" s="271">
        <v>7.88</v>
      </c>
      <c r="E51" s="272">
        <v>7880</v>
      </c>
    </row>
    <row r="52" spans="2:5" ht="19.5" customHeight="1">
      <c r="B52" s="270">
        <f t="shared" si="0"/>
        <v>49</v>
      </c>
      <c r="C52" s="271" t="s">
        <v>1077</v>
      </c>
      <c r="D52" s="271">
        <v>4.3600000000000003</v>
      </c>
      <c r="E52" s="272">
        <v>4360</v>
      </c>
    </row>
    <row r="53" spans="2:5">
      <c r="B53" s="270">
        <f t="shared" si="0"/>
        <v>50</v>
      </c>
      <c r="C53" s="271" t="s">
        <v>1078</v>
      </c>
      <c r="D53" s="271">
        <v>6.87</v>
      </c>
      <c r="E53" s="272">
        <v>6870</v>
      </c>
    </row>
    <row r="54" spans="2:5" ht="20.25" customHeight="1">
      <c r="B54" s="270">
        <f t="shared" si="0"/>
        <v>51</v>
      </c>
      <c r="C54" s="271" t="s">
        <v>1079</v>
      </c>
      <c r="D54" s="271">
        <v>3.89</v>
      </c>
      <c r="E54" s="272">
        <v>3890</v>
      </c>
    </row>
    <row r="55" spans="2:5">
      <c r="B55" s="270">
        <f t="shared" si="0"/>
        <v>52</v>
      </c>
      <c r="C55" s="271" t="s">
        <v>1080</v>
      </c>
      <c r="D55" s="271">
        <v>1.82</v>
      </c>
      <c r="E55" s="272">
        <v>1820</v>
      </c>
    </row>
    <row r="56" spans="2:5">
      <c r="B56" s="270">
        <f t="shared" si="0"/>
        <v>53</v>
      </c>
      <c r="C56" s="271" t="s">
        <v>1081</v>
      </c>
      <c r="D56" s="271">
        <v>2.63</v>
      </c>
      <c r="E56" s="272">
        <v>2630</v>
      </c>
    </row>
    <row r="57" spans="2:5">
      <c r="B57" s="270">
        <f t="shared" si="0"/>
        <v>54</v>
      </c>
      <c r="C57" s="271" t="s">
        <v>1082</v>
      </c>
      <c r="D57" s="271">
        <v>5.01</v>
      </c>
      <c r="E57" s="272">
        <v>5010</v>
      </c>
    </row>
    <row r="58" spans="2:5" ht="18.75" customHeight="1">
      <c r="B58" s="270">
        <f t="shared" si="0"/>
        <v>55</v>
      </c>
      <c r="C58" s="271" t="s">
        <v>1083</v>
      </c>
      <c r="D58" s="271">
        <v>14.33</v>
      </c>
      <c r="E58" s="272">
        <v>14330</v>
      </c>
    </row>
    <row r="59" spans="2:5">
      <c r="B59" s="270">
        <f t="shared" si="0"/>
        <v>56</v>
      </c>
      <c r="C59" s="271" t="s">
        <v>1084</v>
      </c>
      <c r="D59" s="271">
        <v>2.52</v>
      </c>
      <c r="E59" s="272">
        <v>2520</v>
      </c>
    </row>
    <row r="60" spans="2:5">
      <c r="B60" s="270">
        <f t="shared" si="0"/>
        <v>57</v>
      </c>
      <c r="C60" s="271" t="s">
        <v>1085</v>
      </c>
      <c r="D60" s="271">
        <v>4.25</v>
      </c>
      <c r="E60" s="272">
        <v>4250</v>
      </c>
    </row>
    <row r="61" spans="2:5">
      <c r="B61" s="270">
        <f t="shared" si="0"/>
        <v>58</v>
      </c>
      <c r="C61" s="271" t="s">
        <v>1086</v>
      </c>
      <c r="D61" s="271">
        <v>3.27</v>
      </c>
      <c r="E61" s="272">
        <v>3270</v>
      </c>
    </row>
    <row r="62" spans="2:5">
      <c r="B62" s="270">
        <f t="shared" si="0"/>
        <v>59</v>
      </c>
      <c r="C62" s="271" t="s">
        <v>1087</v>
      </c>
      <c r="D62" s="271">
        <v>4.92</v>
      </c>
      <c r="E62" s="272">
        <v>4920</v>
      </c>
    </row>
    <row r="63" spans="2:5">
      <c r="B63" s="270">
        <f t="shared" si="0"/>
        <v>60</v>
      </c>
      <c r="C63" s="271" t="s">
        <v>1088</v>
      </c>
      <c r="D63" s="271">
        <v>5.34</v>
      </c>
      <c r="E63" s="272">
        <v>5340</v>
      </c>
    </row>
    <row r="64" spans="2:5">
      <c r="B64" s="270">
        <f t="shared" si="0"/>
        <v>61</v>
      </c>
      <c r="C64" s="271" t="s">
        <v>1089</v>
      </c>
      <c r="D64" s="271">
        <v>2.95</v>
      </c>
      <c r="E64" s="272">
        <v>2950</v>
      </c>
    </row>
    <row r="65" spans="2:5" ht="18.75" customHeight="1">
      <c r="B65" s="270">
        <f t="shared" si="0"/>
        <v>62</v>
      </c>
      <c r="C65" s="271" t="s">
        <v>1090</v>
      </c>
      <c r="D65" s="271">
        <v>4.95</v>
      </c>
      <c r="E65" s="272">
        <v>4950</v>
      </c>
    </row>
    <row r="66" spans="2:5">
      <c r="B66" s="270">
        <f t="shared" si="0"/>
        <v>63</v>
      </c>
      <c r="C66" s="271" t="s">
        <v>1091</v>
      </c>
      <c r="D66" s="271">
        <v>0.97</v>
      </c>
      <c r="E66" s="273">
        <v>970</v>
      </c>
    </row>
    <row r="67" spans="2:5">
      <c r="B67" s="270">
        <f t="shared" si="0"/>
        <v>64</v>
      </c>
      <c r="C67" s="271" t="s">
        <v>1092</v>
      </c>
      <c r="D67" s="271">
        <v>1.99</v>
      </c>
      <c r="E67" s="272">
        <v>1990</v>
      </c>
    </row>
    <row r="68" spans="2:5">
      <c r="B68" s="270">
        <f t="shared" si="0"/>
        <v>65</v>
      </c>
      <c r="C68" s="271" t="s">
        <v>1093</v>
      </c>
      <c r="D68" s="271">
        <v>3.94</v>
      </c>
      <c r="E68" s="272">
        <v>3940</v>
      </c>
    </row>
    <row r="69" spans="2:5">
      <c r="B69" s="270">
        <f t="shared" si="0"/>
        <v>66</v>
      </c>
      <c r="C69" s="271" t="s">
        <v>1094</v>
      </c>
      <c r="D69" s="271">
        <v>3.48</v>
      </c>
      <c r="E69" s="272">
        <v>3480</v>
      </c>
    </row>
    <row r="70" spans="2:5" ht="15.75" thickBot="1">
      <c r="B70" s="274">
        <f t="shared" ref="B70" si="1">B69+1</f>
        <v>67</v>
      </c>
      <c r="C70" s="275" t="s">
        <v>1095</v>
      </c>
      <c r="D70" s="275">
        <v>3.89</v>
      </c>
      <c r="E70" s="276">
        <v>3890</v>
      </c>
    </row>
  </sheetData>
  <mergeCells count="2">
    <mergeCell ref="B1:E1"/>
    <mergeCell ref="B2:C2"/>
  </mergeCells>
  <pageMargins left="0.51181102362204722" right="0.51181102362204722" top="0.78740157480314965" bottom="0.78740157480314965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8"/>
  <sheetViews>
    <sheetView workbookViewId="0"/>
  </sheetViews>
  <sheetFormatPr defaultColWidth="14.42578125" defaultRowHeight="15" customHeight="1"/>
  <cols>
    <col min="1" max="1" width="13.5703125" customWidth="1"/>
    <col min="2" max="2" width="12.42578125" customWidth="1"/>
    <col min="3" max="11" width="8.7109375" customWidth="1"/>
  </cols>
  <sheetData>
    <row r="1" spans="1:2" ht="14.25" customHeight="1">
      <c r="A1" t="s">
        <v>1</v>
      </c>
      <c r="B1" t="s">
        <v>223</v>
      </c>
    </row>
    <row r="2" spans="1:2" ht="14.25" customHeight="1">
      <c r="A2" s="5" t="s">
        <v>224</v>
      </c>
      <c r="B2" s="6">
        <v>5806.44</v>
      </c>
    </row>
    <row r="3" spans="1:2" ht="14.25" customHeight="1">
      <c r="A3" s="5" t="s">
        <v>225</v>
      </c>
      <c r="B3" s="5">
        <v>371.34</v>
      </c>
    </row>
    <row r="4" spans="1:2" ht="14.25" customHeight="1">
      <c r="A4" s="5" t="s">
        <v>226</v>
      </c>
      <c r="B4" s="5">
        <v>443.27</v>
      </c>
    </row>
    <row r="5" spans="1:2" ht="14.25" customHeight="1">
      <c r="A5" s="5" t="s">
        <v>227</v>
      </c>
      <c r="B5" s="6">
        <v>1457.92</v>
      </c>
    </row>
    <row r="6" spans="1:2" ht="14.25" customHeight="1">
      <c r="A6" s="5" t="s">
        <v>228</v>
      </c>
      <c r="B6" s="6">
        <v>1942.11</v>
      </c>
    </row>
    <row r="7" spans="1:2" ht="14.25" customHeight="1">
      <c r="A7" s="5" t="s">
        <v>229</v>
      </c>
      <c r="B7" s="5">
        <v>721.51</v>
      </c>
    </row>
    <row r="8" spans="1:2" ht="14.25" customHeight="1">
      <c r="A8" s="5" t="s">
        <v>230</v>
      </c>
      <c r="B8" s="5">
        <v>383.31</v>
      </c>
    </row>
    <row r="9" spans="1:2" ht="14.25" customHeight="1">
      <c r="A9" s="5" t="s">
        <v>231</v>
      </c>
      <c r="B9" s="6">
        <v>1932.29</v>
      </c>
    </row>
    <row r="10" spans="1:2" ht="14.25" customHeight="1">
      <c r="A10" s="5" t="s">
        <v>232</v>
      </c>
      <c r="B10" s="6">
        <v>11132.18</v>
      </c>
    </row>
    <row r="11" spans="1:2" ht="14.25" customHeight="1">
      <c r="A11" s="5" t="s">
        <v>233</v>
      </c>
      <c r="B11" s="5">
        <v>502.4</v>
      </c>
    </row>
    <row r="12" spans="1:2" ht="14.25" customHeight="1">
      <c r="A12" s="5" t="s">
        <v>234</v>
      </c>
      <c r="B12" s="6">
        <v>7438.19</v>
      </c>
    </row>
    <row r="13" spans="1:2" ht="14.25" customHeight="1">
      <c r="A13" s="5" t="s">
        <v>235</v>
      </c>
      <c r="B13" s="6">
        <v>1011.13</v>
      </c>
    </row>
    <row r="14" spans="1:2" ht="14.25" customHeight="1">
      <c r="A14" s="5" t="s">
        <v>236</v>
      </c>
      <c r="B14" s="5">
        <v>608.29999999999995</v>
      </c>
    </row>
    <row r="15" spans="1:2" ht="14.25" customHeight="1">
      <c r="A15" s="5" t="s">
        <v>237</v>
      </c>
      <c r="B15" s="5">
        <v>488.81</v>
      </c>
    </row>
    <row r="16" spans="1:2" ht="14.25" customHeight="1">
      <c r="A16" s="5" t="s">
        <v>238</v>
      </c>
      <c r="B16" s="5">
        <v>805.19</v>
      </c>
    </row>
    <row r="17" spans="1:2" ht="14.25" customHeight="1">
      <c r="A17" s="5" t="s">
        <v>239</v>
      </c>
      <c r="B17" s="6">
        <v>1782.6</v>
      </c>
    </row>
    <row r="18" spans="1:2" ht="14.25" customHeight="1">
      <c r="A18" s="5" t="s">
        <v>240</v>
      </c>
      <c r="B18" s="6">
        <v>2976.04</v>
      </c>
    </row>
    <row r="19" spans="1:2" ht="14.25" customHeight="1">
      <c r="A19" s="5" t="s">
        <v>241</v>
      </c>
      <c r="B19" s="6">
        <v>1100.28</v>
      </c>
    </row>
    <row r="20" spans="1:2" ht="14.25" customHeight="1">
      <c r="A20" s="5" t="s">
        <v>242</v>
      </c>
      <c r="B20" s="5">
        <v>203.15</v>
      </c>
    </row>
    <row r="21" spans="1:2" ht="14.25" customHeight="1">
      <c r="A21" s="5" t="s">
        <v>243</v>
      </c>
      <c r="B21" s="6">
        <v>1683.07</v>
      </c>
    </row>
    <row r="22" spans="1:2" ht="14.25" customHeight="1">
      <c r="A22" s="5" t="s">
        <v>244</v>
      </c>
      <c r="B22" s="5">
        <v>615.59</v>
      </c>
    </row>
    <row r="23" spans="1:2" ht="14.25" customHeight="1">
      <c r="A23" s="5" t="s">
        <v>245</v>
      </c>
      <c r="B23" s="5">
        <v>823.72</v>
      </c>
    </row>
    <row r="24" spans="1:2" ht="14.25" customHeight="1">
      <c r="A24" s="5" t="s">
        <v>246</v>
      </c>
      <c r="B24" s="5">
        <v>674.51</v>
      </c>
    </row>
    <row r="25" spans="1:2" ht="14.25" customHeight="1">
      <c r="A25" s="5" t="s">
        <v>247</v>
      </c>
      <c r="B25" s="6">
        <v>13141.73</v>
      </c>
    </row>
    <row r="26" spans="1:2" ht="14.25" customHeight="1">
      <c r="A26" s="5" t="s">
        <v>248</v>
      </c>
      <c r="B26" s="6">
        <v>2208.31</v>
      </c>
    </row>
    <row r="27" spans="1:2" ht="14.25" customHeight="1">
      <c r="A27" s="5" t="s">
        <v>249</v>
      </c>
      <c r="B27" s="6">
        <v>5190.34</v>
      </c>
    </row>
    <row r="28" spans="1:2" ht="14.25" customHeight="1">
      <c r="A28" s="5" t="s">
        <v>250</v>
      </c>
      <c r="B28" s="6">
        <v>3024.02</v>
      </c>
    </row>
    <row r="29" spans="1:2" ht="14.25" customHeight="1">
      <c r="A29" s="5" t="s">
        <v>251</v>
      </c>
      <c r="B29" s="5">
        <v>142.81</v>
      </c>
    </row>
    <row r="30" spans="1:2" ht="14.25" customHeight="1">
      <c r="A30" s="5" t="s">
        <v>252</v>
      </c>
      <c r="B30" s="5">
        <v>569.42999999999995</v>
      </c>
    </row>
    <row r="31" spans="1:2" ht="14.25" customHeight="1">
      <c r="A31" s="5" t="s">
        <v>253</v>
      </c>
      <c r="B31" s="6">
        <v>1781.73</v>
      </c>
    </row>
    <row r="32" spans="1:2" ht="14.25" customHeight="1">
      <c r="A32" s="5" t="s">
        <v>254</v>
      </c>
      <c r="B32" s="5">
        <v>797.72</v>
      </c>
    </row>
    <row r="33" spans="1:2" ht="14.25" customHeight="1">
      <c r="A33" s="5" t="s">
        <v>255</v>
      </c>
      <c r="B33" s="5">
        <v>261.45</v>
      </c>
    </row>
    <row r="34" spans="1:2" ht="14.25" customHeight="1">
      <c r="A34" s="5" t="s">
        <v>256</v>
      </c>
      <c r="B34" s="5">
        <v>403.46</v>
      </c>
    </row>
    <row r="35" spans="1:2" ht="14.25" customHeight="1">
      <c r="A35" s="5" t="s">
        <v>257</v>
      </c>
      <c r="B35" s="6">
        <v>6590.53</v>
      </c>
    </row>
    <row r="36" spans="1:2" ht="14.25" customHeight="1">
      <c r="A36" s="5" t="s">
        <v>258</v>
      </c>
      <c r="B36" s="6">
        <v>2679.1</v>
      </c>
    </row>
    <row r="37" spans="1:2" ht="14.25" customHeight="1">
      <c r="A37" s="5" t="s">
        <v>259</v>
      </c>
      <c r="B37" s="5">
        <v>445.98</v>
      </c>
    </row>
    <row r="38" spans="1:2" ht="14.25" customHeight="1">
      <c r="A38" s="5" t="s">
        <v>260</v>
      </c>
      <c r="B38" s="6">
        <v>1074.6300000000001</v>
      </c>
    </row>
    <row r="39" spans="1:2" ht="14.25" customHeight="1">
      <c r="A39" s="5" t="s">
        <v>261</v>
      </c>
      <c r="B39" s="5">
        <v>362.46</v>
      </c>
    </row>
    <row r="40" spans="1:2" ht="14.25" customHeight="1">
      <c r="A40" s="5" t="s">
        <v>262</v>
      </c>
      <c r="B40" s="6">
        <v>1473.96</v>
      </c>
    </row>
    <row r="41" spans="1:2" ht="14.25" customHeight="1">
      <c r="A41" s="5" t="s">
        <v>263</v>
      </c>
      <c r="B41" s="6">
        <v>1582.55</v>
      </c>
    </row>
    <row r="42" spans="1:2" ht="14.25" customHeight="1">
      <c r="A42" s="5" t="s">
        <v>264</v>
      </c>
      <c r="B42" s="6">
        <v>2545.44</v>
      </c>
    </row>
    <row r="43" spans="1:2" ht="14.25" customHeight="1">
      <c r="A43" s="5" t="s">
        <v>265</v>
      </c>
      <c r="B43" s="5">
        <v>818.42</v>
      </c>
    </row>
    <row r="44" spans="1:2" ht="14.25" customHeight="1">
      <c r="A44" s="5" t="s">
        <v>266</v>
      </c>
      <c r="B44" s="5">
        <v>705.65</v>
      </c>
    </row>
    <row r="45" spans="1:2" ht="14.25" customHeight="1">
      <c r="A45" s="5" t="s">
        <v>267</v>
      </c>
      <c r="B45" s="5">
        <v>908.73</v>
      </c>
    </row>
    <row r="46" spans="1:2" ht="14.25" customHeight="1">
      <c r="A46" s="5" t="s">
        <v>268</v>
      </c>
      <c r="B46" s="5">
        <v>662.07</v>
      </c>
    </row>
    <row r="47" spans="1:2" ht="14.25" customHeight="1">
      <c r="A47" s="5" t="s">
        <v>269</v>
      </c>
      <c r="B47" s="5">
        <v>615.38</v>
      </c>
    </row>
    <row r="48" spans="1:2" ht="14.25" customHeight="1">
      <c r="A48" s="5" t="s">
        <v>270</v>
      </c>
      <c r="B48" s="6">
        <v>1640.76</v>
      </c>
    </row>
    <row r="49" spans="1:2" ht="14.25" customHeight="1">
      <c r="A49" s="5" t="s">
        <v>271</v>
      </c>
      <c r="B49" s="5">
        <v>773.01</v>
      </c>
    </row>
    <row r="50" spans="1:2" ht="14.25" customHeight="1">
      <c r="A50" s="5" t="s">
        <v>272</v>
      </c>
      <c r="B50" s="5">
        <v>590.53</v>
      </c>
    </row>
    <row r="51" spans="1:2" ht="14.25" customHeight="1">
      <c r="A51" s="5" t="s">
        <v>273</v>
      </c>
      <c r="B51" s="6">
        <v>6441.6</v>
      </c>
    </row>
    <row r="52" spans="1:2" ht="14.25" customHeight="1">
      <c r="A52" s="5" t="s">
        <v>274</v>
      </c>
      <c r="B52" s="6">
        <v>1232.08</v>
      </c>
    </row>
    <row r="53" spans="1:2" ht="14.25" customHeight="1">
      <c r="A53" s="5" t="s">
        <v>275</v>
      </c>
      <c r="B53" s="6">
        <v>5196.7700000000004</v>
      </c>
    </row>
    <row r="54" spans="1:2" ht="14.25" customHeight="1">
      <c r="A54" s="5" t="s">
        <v>276</v>
      </c>
      <c r="B54" s="5">
        <v>283.19</v>
      </c>
    </row>
    <row r="55" spans="1:2" ht="14.25" customHeight="1">
      <c r="A55" s="5" t="s">
        <v>277</v>
      </c>
      <c r="B55" s="5">
        <v>319.05</v>
      </c>
    </row>
    <row r="56" spans="1:2" ht="14.25" customHeight="1">
      <c r="A56" s="5" t="s">
        <v>278</v>
      </c>
      <c r="B56" s="6">
        <v>1167.8499999999999</v>
      </c>
    </row>
    <row r="57" spans="1:2" ht="14.25" customHeight="1">
      <c r="A57" s="5" t="s">
        <v>279</v>
      </c>
      <c r="B57" s="6">
        <v>8369.7900000000009</v>
      </c>
    </row>
    <row r="58" spans="1:2" ht="14.25" customHeight="1">
      <c r="A58" s="5" t="s">
        <v>280</v>
      </c>
      <c r="B58" s="6">
        <v>3247.38</v>
      </c>
    </row>
    <row r="59" spans="1:2" ht="14.25" customHeight="1">
      <c r="A59" s="5" t="s">
        <v>281</v>
      </c>
      <c r="B59" s="6">
        <v>1464.03</v>
      </c>
    </row>
    <row r="60" spans="1:2" ht="14.25" customHeight="1">
      <c r="A60" s="5" t="s">
        <v>282</v>
      </c>
      <c r="B60" s="6">
        <v>4361.34</v>
      </c>
    </row>
    <row r="61" spans="1:2" ht="14.25" customHeight="1">
      <c r="A61" s="5" t="s">
        <v>283</v>
      </c>
      <c r="B61" s="5">
        <v>975.55</v>
      </c>
    </row>
    <row r="62" spans="1:2" ht="14.25" customHeight="1">
      <c r="A62" s="5" t="s">
        <v>284</v>
      </c>
      <c r="B62" s="6">
        <v>1980.55</v>
      </c>
    </row>
    <row r="63" spans="1:2" ht="14.25" customHeight="1">
      <c r="A63" s="5" t="s">
        <v>285</v>
      </c>
      <c r="B63" s="5">
        <v>733.23</v>
      </c>
    </row>
    <row r="64" spans="1:2" ht="14.25" customHeight="1">
      <c r="A64" s="5" t="s">
        <v>286</v>
      </c>
      <c r="B64" s="6">
        <v>2263.7800000000002</v>
      </c>
    </row>
    <row r="65" spans="1:2" ht="14.25" customHeight="1">
      <c r="A65" s="5" t="s">
        <v>287</v>
      </c>
      <c r="B65" s="6">
        <v>1093.06</v>
      </c>
    </row>
    <row r="66" spans="1:2" ht="14.25" customHeight="1">
      <c r="A66" s="5" t="s">
        <v>288</v>
      </c>
      <c r="B66" s="5">
        <v>335.78</v>
      </c>
    </row>
    <row r="67" spans="1:2" ht="14.25" customHeight="1">
      <c r="A67" s="5" t="s">
        <v>289</v>
      </c>
      <c r="B67" s="5">
        <v>358.49</v>
      </c>
    </row>
    <row r="68" spans="1:2" ht="14.25" customHeight="1">
      <c r="A68" s="5" t="s">
        <v>290</v>
      </c>
      <c r="B68" s="5">
        <v>317.92</v>
      </c>
    </row>
    <row r="69" spans="1:2" ht="14.25" customHeight="1">
      <c r="A69" s="5" t="s">
        <v>291</v>
      </c>
      <c r="B69" s="5">
        <v>452.44</v>
      </c>
    </row>
    <row r="70" spans="1:2" ht="14.25" customHeight="1">
      <c r="A70" s="5" t="s">
        <v>292</v>
      </c>
      <c r="B70" s="6">
        <v>2718.98</v>
      </c>
    </row>
    <row r="71" spans="1:2" ht="14.25" customHeight="1">
      <c r="A71" s="5" t="s">
        <v>293</v>
      </c>
      <c r="B71" s="6">
        <v>1473.42</v>
      </c>
    </row>
    <row r="72" spans="1:2" ht="14.25" customHeight="1">
      <c r="A72" s="5" t="s">
        <v>294</v>
      </c>
      <c r="B72" s="6">
        <v>5086.58</v>
      </c>
    </row>
    <row r="73" spans="1:2" ht="14.25" customHeight="1">
      <c r="A73" s="5" t="s">
        <v>295</v>
      </c>
      <c r="B73" s="6">
        <v>3690.61</v>
      </c>
    </row>
    <row r="74" spans="1:2" ht="14.25" customHeight="1">
      <c r="A74" s="5" t="s">
        <v>296</v>
      </c>
      <c r="B74" s="6">
        <v>1854.01</v>
      </c>
    </row>
    <row r="75" spans="1:2" ht="14.25" customHeight="1">
      <c r="A75" s="5" t="s">
        <v>297</v>
      </c>
      <c r="B75" s="5">
        <v>695</v>
      </c>
    </row>
    <row r="76" spans="1:2" ht="14.25" customHeight="1">
      <c r="A76" s="5" t="s">
        <v>298</v>
      </c>
      <c r="B76" s="5">
        <v>667.33</v>
      </c>
    </row>
    <row r="77" spans="1:2" ht="14.25" customHeight="1">
      <c r="A77" s="5" t="s">
        <v>299</v>
      </c>
      <c r="B77" s="5">
        <v>883.59</v>
      </c>
    </row>
    <row r="78" spans="1:2" ht="14.25" customHeight="1">
      <c r="A78" s="5" t="s">
        <v>300</v>
      </c>
      <c r="B78" s="5">
        <v>445.86</v>
      </c>
    </row>
    <row r="79" spans="1:2" ht="14.25" customHeight="1">
      <c r="A79" s="5" t="s">
        <v>301</v>
      </c>
      <c r="B79" s="5">
        <v>615.85</v>
      </c>
    </row>
    <row r="80" spans="1:2" ht="14.25" customHeight="1">
      <c r="A80" s="5" t="s">
        <v>302</v>
      </c>
      <c r="B80" s="5">
        <v>816.99</v>
      </c>
    </row>
    <row r="81" spans="1:2" ht="14.25" customHeight="1">
      <c r="A81" s="5" t="s">
        <v>303</v>
      </c>
      <c r="B81" s="5">
        <v>373.16</v>
      </c>
    </row>
    <row r="82" spans="1:2" ht="14.25" customHeight="1">
      <c r="A82" s="5" t="s">
        <v>304</v>
      </c>
      <c r="B82" s="6">
        <v>1144.07</v>
      </c>
    </row>
    <row r="83" spans="1:2" ht="14.25" customHeight="1">
      <c r="A83" s="5" t="s">
        <v>305</v>
      </c>
      <c r="B83" s="6">
        <v>1037.1300000000001</v>
      </c>
    </row>
    <row r="84" spans="1:2" ht="14.25" customHeight="1">
      <c r="A84" s="5" t="s">
        <v>306</v>
      </c>
      <c r="B84" s="5">
        <v>271.44</v>
      </c>
    </row>
    <row r="85" spans="1:2" ht="14.25" customHeight="1">
      <c r="A85" s="5" t="s">
        <v>307</v>
      </c>
      <c r="B85" s="6">
        <v>8842.7800000000007</v>
      </c>
    </row>
    <row r="86" spans="1:2" ht="14.25" customHeight="1">
      <c r="A86" s="5" t="s">
        <v>308</v>
      </c>
      <c r="B86" s="5">
        <v>595.38</v>
      </c>
    </row>
    <row r="87" spans="1:2" ht="14.25" customHeight="1">
      <c r="A87" s="5" t="s">
        <v>309</v>
      </c>
      <c r="B87" s="6">
        <v>2131.25</v>
      </c>
    </row>
    <row r="88" spans="1:2" ht="14.25" customHeight="1">
      <c r="A88" s="5" t="s">
        <v>310</v>
      </c>
      <c r="B88" s="6">
        <v>1448.78</v>
      </c>
    </row>
    <row r="89" spans="1:2" ht="14.25" customHeight="1">
      <c r="A89" s="5" t="s">
        <v>311</v>
      </c>
      <c r="B89" s="5">
        <v>368.69</v>
      </c>
    </row>
    <row r="90" spans="1:2" ht="14.25" customHeight="1">
      <c r="A90" s="5" t="s">
        <v>312</v>
      </c>
      <c r="B90" s="5">
        <v>374.25</v>
      </c>
    </row>
    <row r="91" spans="1:2" ht="14.25" customHeight="1">
      <c r="A91" s="5" t="s">
        <v>313</v>
      </c>
      <c r="B91" s="6">
        <v>1368.99</v>
      </c>
    </row>
    <row r="92" spans="1:2" ht="14.25" customHeight="1">
      <c r="A92" s="5" t="s">
        <v>314</v>
      </c>
      <c r="B92" s="6">
        <v>1066.19</v>
      </c>
    </row>
    <row r="93" spans="1:2" ht="14.25" customHeight="1">
      <c r="A93" s="5" t="s">
        <v>315</v>
      </c>
      <c r="B93" s="6">
        <v>1471.44</v>
      </c>
    </row>
    <row r="94" spans="1:2" ht="14.25" customHeight="1">
      <c r="A94" s="5" t="s">
        <v>316</v>
      </c>
      <c r="B94" s="6">
        <v>3581.72</v>
      </c>
    </row>
    <row r="95" spans="1:2" ht="14.25" customHeight="1">
      <c r="A95" s="5" t="s">
        <v>317</v>
      </c>
      <c r="B95" s="5">
        <v>591.38</v>
      </c>
    </row>
    <row r="96" spans="1:2" ht="14.25" customHeight="1">
      <c r="A96" s="5" t="s">
        <v>318</v>
      </c>
      <c r="B96" s="6">
        <v>1962.9</v>
      </c>
    </row>
    <row r="97" spans="1:2" ht="14.25" customHeight="1">
      <c r="A97" s="5" t="s">
        <v>319</v>
      </c>
      <c r="B97" s="6">
        <v>1135.21</v>
      </c>
    </row>
    <row r="98" spans="1:2" ht="14.25" customHeight="1">
      <c r="A98" s="5" t="s">
        <v>320</v>
      </c>
      <c r="B98" s="5">
        <v>703.51</v>
      </c>
    </row>
    <row r="99" spans="1:2" ht="14.25" customHeight="1">
      <c r="A99" s="5" t="s">
        <v>321</v>
      </c>
      <c r="B99" s="5">
        <v>555.09</v>
      </c>
    </row>
    <row r="100" spans="1:2" ht="14.25" customHeight="1">
      <c r="A100" s="5" t="s">
        <v>322</v>
      </c>
      <c r="B100" s="6">
        <v>1240.45</v>
      </c>
    </row>
    <row r="101" spans="1:2" ht="14.25" customHeight="1">
      <c r="A101" s="5" t="s">
        <v>323</v>
      </c>
      <c r="B101" s="5">
        <v>268.62</v>
      </c>
    </row>
    <row r="102" spans="1:2" ht="14.25" customHeight="1">
      <c r="A102" s="5" t="s">
        <v>324</v>
      </c>
      <c r="B102" s="5">
        <v>220.78</v>
      </c>
    </row>
    <row r="103" spans="1:2" ht="14.25" customHeight="1">
      <c r="A103" s="5" t="s">
        <v>325</v>
      </c>
      <c r="B103" s="5">
        <v>623.24</v>
      </c>
    </row>
    <row r="104" spans="1:2" ht="14.25" customHeight="1">
      <c r="A104" s="5" t="s">
        <v>326</v>
      </c>
      <c r="B104" s="6">
        <v>1512.99</v>
      </c>
    </row>
    <row r="105" spans="1:2" ht="14.25" customHeight="1">
      <c r="A105" s="5" t="s">
        <v>327</v>
      </c>
      <c r="B105" s="5">
        <v>937.71</v>
      </c>
    </row>
    <row r="106" spans="1:2" ht="14.25" customHeight="1">
      <c r="A106" s="5" t="s">
        <v>328</v>
      </c>
      <c r="B106" s="6">
        <v>1047.73</v>
      </c>
    </row>
    <row r="107" spans="1:2" ht="14.25" customHeight="1">
      <c r="A107" s="5" t="s">
        <v>329</v>
      </c>
      <c r="B107" s="5">
        <v>321.93</v>
      </c>
    </row>
    <row r="108" spans="1:2" ht="14.25" customHeight="1">
      <c r="A108" s="5" t="s">
        <v>330</v>
      </c>
      <c r="B108" s="6">
        <v>3596.84</v>
      </c>
    </row>
    <row r="109" spans="1:2" ht="14.25" customHeight="1">
      <c r="A109" s="5" t="s">
        <v>331</v>
      </c>
      <c r="B109" s="5">
        <v>464.06</v>
      </c>
    </row>
    <row r="110" spans="1:2" ht="14.25" customHeight="1">
      <c r="A110" s="5" t="s">
        <v>332</v>
      </c>
      <c r="B110" s="5">
        <v>433.15</v>
      </c>
    </row>
    <row r="111" spans="1:2" ht="14.25" customHeight="1">
      <c r="A111" s="5" t="s">
        <v>333</v>
      </c>
      <c r="B111" s="5">
        <v>635.82000000000005</v>
      </c>
    </row>
    <row r="112" spans="1:2" ht="14.25" customHeight="1">
      <c r="A112" s="5" t="s">
        <v>334</v>
      </c>
      <c r="B112" s="6">
        <v>1402.59</v>
      </c>
    </row>
    <row r="113" spans="1:2" ht="14.25" customHeight="1">
      <c r="A113" s="5" t="s">
        <v>335</v>
      </c>
      <c r="B113" s="5">
        <v>760.95</v>
      </c>
    </row>
    <row r="114" spans="1:2" ht="14.25" customHeight="1">
      <c r="A114" s="5" t="s">
        <v>336</v>
      </c>
      <c r="B114" s="5">
        <v>548.41</v>
      </c>
    </row>
    <row r="115" spans="1:2" ht="14.25" customHeight="1">
      <c r="A115" s="5" t="s">
        <v>337</v>
      </c>
      <c r="B115" s="5">
        <v>408.73</v>
      </c>
    </row>
    <row r="116" spans="1:2" ht="14.25" customHeight="1">
      <c r="A116" s="5" t="s">
        <v>338</v>
      </c>
      <c r="B116" s="6">
        <v>2107.4</v>
      </c>
    </row>
    <row r="117" spans="1:2" ht="14.25" customHeight="1">
      <c r="A117" s="5" t="s">
        <v>339</v>
      </c>
      <c r="B117" s="5">
        <v>794.65</v>
      </c>
    </row>
    <row r="118" spans="1:2" ht="14.25" customHeight="1">
      <c r="A118" s="5" t="s">
        <v>340</v>
      </c>
      <c r="B118" s="5">
        <v>634.74</v>
      </c>
    </row>
    <row r="119" spans="1:2" ht="14.25" customHeight="1">
      <c r="A119" s="5" t="s">
        <v>341</v>
      </c>
      <c r="B119" s="6">
        <v>8521.08</v>
      </c>
    </row>
    <row r="120" spans="1:2" ht="14.25" customHeight="1">
      <c r="A120" s="5" t="s">
        <v>342</v>
      </c>
      <c r="B120" s="5">
        <v>341.11</v>
      </c>
    </row>
    <row r="121" spans="1:2" ht="14.25" customHeight="1">
      <c r="A121" s="5" t="s">
        <v>343</v>
      </c>
      <c r="B121" s="5">
        <v>687.75</v>
      </c>
    </row>
    <row r="122" spans="1:2" ht="14.25" customHeight="1">
      <c r="A122" s="5" t="s">
        <v>344</v>
      </c>
      <c r="B122" s="6">
        <v>1271.51</v>
      </c>
    </row>
    <row r="123" spans="1:2" ht="14.25" customHeight="1">
      <c r="A123" s="5" t="s">
        <v>345</v>
      </c>
      <c r="B123" s="6">
        <v>1488.34</v>
      </c>
    </row>
    <row r="124" spans="1:2" ht="14.25" customHeight="1">
      <c r="A124" s="5" t="s">
        <v>346</v>
      </c>
      <c r="B124" s="6">
        <v>1715.18</v>
      </c>
    </row>
    <row r="125" spans="1:2" ht="14.25" customHeight="1">
      <c r="A125" s="5" t="s">
        <v>347</v>
      </c>
      <c r="B125" s="5">
        <v>572.51</v>
      </c>
    </row>
    <row r="126" spans="1:2" ht="14.25" customHeight="1">
      <c r="A126" s="5" t="s">
        <v>348</v>
      </c>
      <c r="B126" s="5">
        <v>743.11</v>
      </c>
    </row>
    <row r="127" spans="1:2" ht="14.25" customHeight="1">
      <c r="A127" s="5" t="s">
        <v>349</v>
      </c>
      <c r="B127" s="5">
        <v>976.85</v>
      </c>
    </row>
    <row r="128" spans="1:2" ht="14.25" customHeight="1">
      <c r="A128" s="5" t="s">
        <v>350</v>
      </c>
      <c r="B128" s="6">
        <v>2452.62</v>
      </c>
    </row>
    <row r="129" spans="1:2" ht="14.25" customHeight="1">
      <c r="A129" s="5" t="s">
        <v>351</v>
      </c>
      <c r="B129" s="5">
        <v>695.33</v>
      </c>
    </row>
    <row r="130" spans="1:2" ht="14.25" customHeight="1">
      <c r="A130" s="5" t="s">
        <v>352</v>
      </c>
      <c r="B130" s="5">
        <v>197.64</v>
      </c>
    </row>
    <row r="131" spans="1:2" ht="14.25" customHeight="1">
      <c r="A131" s="5" t="s">
        <v>353</v>
      </c>
      <c r="B131" s="5">
        <v>122.83</v>
      </c>
    </row>
    <row r="132" spans="1:2" ht="14.25" customHeight="1">
      <c r="A132" s="5" t="s">
        <v>354</v>
      </c>
      <c r="B132" s="5">
        <v>532.16</v>
      </c>
    </row>
    <row r="133" spans="1:2" ht="14.25" customHeight="1">
      <c r="A133" s="5" t="s">
        <v>355</v>
      </c>
      <c r="B133" s="5">
        <v>530.52</v>
      </c>
    </row>
    <row r="134" spans="1:2" ht="14.25" customHeight="1">
      <c r="A134" s="5" t="s">
        <v>356</v>
      </c>
      <c r="B134" s="6">
        <v>3240.49</v>
      </c>
    </row>
    <row r="135" spans="1:2" ht="14.25" customHeight="1">
      <c r="A135" s="5" t="s">
        <v>357</v>
      </c>
      <c r="B135" s="6">
        <v>1358.33</v>
      </c>
    </row>
    <row r="136" spans="1:2" ht="14.25" customHeight="1">
      <c r="A136" s="5" t="s">
        <v>358</v>
      </c>
      <c r="B136" s="6">
        <v>1635.31</v>
      </c>
    </row>
    <row r="137" spans="1:2" ht="14.25" customHeight="1">
      <c r="A137" s="5" t="s">
        <v>359</v>
      </c>
      <c r="B137" s="5">
        <v>979.18</v>
      </c>
    </row>
    <row r="138" spans="1:2" ht="14.25" customHeight="1">
      <c r="A138" s="5" t="s">
        <v>360</v>
      </c>
      <c r="B138" s="6">
        <v>1098.5</v>
      </c>
    </row>
    <row r="139" spans="1:2" ht="14.25" customHeight="1">
      <c r="A139" s="5" t="s">
        <v>361</v>
      </c>
      <c r="B139" s="5">
        <v>288.43</v>
      </c>
    </row>
    <row r="140" spans="1:2" ht="14.25" customHeight="1">
      <c r="A140" s="5" t="s">
        <v>362</v>
      </c>
      <c r="B140" s="6">
        <v>1749.89</v>
      </c>
    </row>
    <row r="141" spans="1:2" ht="14.25" customHeight="1">
      <c r="A141" s="5" t="s">
        <v>363</v>
      </c>
      <c r="B141" s="5">
        <v>768.71</v>
      </c>
    </row>
    <row r="142" spans="1:2" ht="14.25" customHeight="1">
      <c r="A142" s="5" t="s">
        <v>364</v>
      </c>
      <c r="B142" s="5">
        <v>398.72</v>
      </c>
    </row>
    <row r="143" spans="1:2" ht="14.25" customHeight="1">
      <c r="A143" s="5" t="s">
        <v>365</v>
      </c>
      <c r="B143" s="5">
        <v>824.72</v>
      </c>
    </row>
    <row r="144" spans="1:2" ht="14.25" customHeight="1">
      <c r="A144" s="5" t="s">
        <v>366</v>
      </c>
      <c r="B144" s="5">
        <v>273.52999999999997</v>
      </c>
    </row>
    <row r="145" spans="1:2" ht="14.25" customHeight="1">
      <c r="A145" s="5" t="s">
        <v>367</v>
      </c>
      <c r="B145" s="6">
        <v>1512.97</v>
      </c>
    </row>
    <row r="146" spans="1:2" ht="14.25" customHeight="1">
      <c r="A146" s="5" t="s">
        <v>368</v>
      </c>
      <c r="B146" s="5">
        <v>545.14</v>
      </c>
    </row>
    <row r="147" spans="1:2" ht="14.25" customHeight="1">
      <c r="A147" s="5" t="s">
        <v>369</v>
      </c>
      <c r="B147" s="5">
        <v>688.76</v>
      </c>
    </row>
    <row r="148" spans="1:2" ht="14.25" customHeight="1">
      <c r="A148" s="5" t="s">
        <v>370</v>
      </c>
      <c r="B148" s="5">
        <v>990.41</v>
      </c>
    </row>
    <row r="149" spans="1:2" ht="14.25" customHeight="1">
      <c r="A149" s="5" t="s">
        <v>371</v>
      </c>
      <c r="B149" s="6">
        <v>1417.49</v>
      </c>
    </row>
    <row r="150" spans="1:2" ht="14.25" customHeight="1">
      <c r="A150" s="5" t="s">
        <v>372</v>
      </c>
      <c r="B150" s="5">
        <v>218.83</v>
      </c>
    </row>
    <row r="151" spans="1:2" ht="14.25" customHeight="1">
      <c r="A151" s="5" t="s">
        <v>373</v>
      </c>
      <c r="B151" s="5">
        <v>771.57</v>
      </c>
    </row>
    <row r="152" spans="1:2" ht="14.25" customHeight="1">
      <c r="A152" s="5" t="s">
        <v>374</v>
      </c>
      <c r="B152" s="5">
        <v>354.7</v>
      </c>
    </row>
    <row r="153" spans="1:2" ht="14.25" customHeight="1">
      <c r="A153" s="5" t="s">
        <v>375</v>
      </c>
      <c r="B153" s="5">
        <v>437.69</v>
      </c>
    </row>
    <row r="154" spans="1:2" ht="14.25" customHeight="1">
      <c r="A154" s="5" t="s">
        <v>376</v>
      </c>
      <c r="B154" s="5">
        <v>724.15</v>
      </c>
    </row>
    <row r="155" spans="1:2" ht="14.25" customHeight="1">
      <c r="A155" s="5" t="s">
        <v>377</v>
      </c>
      <c r="B155" s="5">
        <v>459.36</v>
      </c>
    </row>
    <row r="156" spans="1:2" ht="14.25" customHeight="1">
      <c r="A156" s="5" t="s">
        <v>378</v>
      </c>
      <c r="B156" s="6">
        <v>1367.68</v>
      </c>
    </row>
    <row r="157" spans="1:2" ht="14.25" customHeight="1">
      <c r="A157" s="5" t="s">
        <v>379</v>
      </c>
      <c r="B157" s="5">
        <v>66.28</v>
      </c>
    </row>
    <row r="158" spans="1:2" ht="14.25" customHeight="1">
      <c r="A158" s="5" t="s">
        <v>380</v>
      </c>
      <c r="B158" s="6">
        <v>6373.02</v>
      </c>
    </row>
    <row r="159" spans="1:2" ht="14.25" customHeight="1">
      <c r="A159" s="5" t="s">
        <v>381</v>
      </c>
      <c r="B159" s="5">
        <v>750.55</v>
      </c>
    </row>
    <row r="160" spans="1:2" ht="14.25" customHeight="1">
      <c r="A160" s="5" t="s">
        <v>382</v>
      </c>
      <c r="B160" s="5">
        <v>685.04</v>
      </c>
    </row>
    <row r="161" spans="1:2" ht="14.25" customHeight="1">
      <c r="A161" s="5" t="s">
        <v>383</v>
      </c>
      <c r="B161" s="6">
        <v>2478.6999999999998</v>
      </c>
    </row>
    <row r="162" spans="1:2" ht="14.25" customHeight="1">
      <c r="A162" s="5" t="s">
        <v>384</v>
      </c>
      <c r="B162" s="5">
        <v>623.21</v>
      </c>
    </row>
    <row r="163" spans="1:2" ht="14.25" customHeight="1">
      <c r="A163" s="5" t="s">
        <v>385</v>
      </c>
      <c r="B163" s="6">
        <v>2308.19</v>
      </c>
    </row>
    <row r="164" spans="1:2" ht="14.25" customHeight="1">
      <c r="A164" s="5" t="s">
        <v>386</v>
      </c>
      <c r="B164" s="5">
        <v>605.62</v>
      </c>
    </row>
    <row r="165" spans="1:2" ht="14.25" customHeight="1">
      <c r="A165" s="5" t="s">
        <v>387</v>
      </c>
      <c r="B165" s="6">
        <v>5462.96</v>
      </c>
    </row>
    <row r="166" spans="1:2" ht="14.25" customHeight="1">
      <c r="A166" s="5" t="s">
        <v>388</v>
      </c>
      <c r="B166" s="5">
        <v>897.15</v>
      </c>
    </row>
    <row r="167" spans="1:2" ht="14.25" customHeight="1">
      <c r="A167" s="5" t="s">
        <v>389</v>
      </c>
      <c r="B167" s="6">
        <v>1434.9</v>
      </c>
    </row>
    <row r="168" spans="1:2" ht="14.25" customHeight="1">
      <c r="A168" s="5" t="s">
        <v>390</v>
      </c>
      <c r="B168" s="5">
        <v>706.39</v>
      </c>
    </row>
    <row r="169" spans="1:2" ht="14.25" customHeight="1">
      <c r="A169" s="5" t="s">
        <v>391</v>
      </c>
      <c r="B169" s="5">
        <v>932.02</v>
      </c>
    </row>
    <row r="170" spans="1:2" ht="14.25" customHeight="1">
      <c r="A170" s="5" t="s">
        <v>392</v>
      </c>
      <c r="B170" s="6">
        <v>1601.18</v>
      </c>
    </row>
    <row r="171" spans="1:2" ht="14.25" customHeight="1">
      <c r="A171" s="5" t="s">
        <v>393</v>
      </c>
      <c r="B171" s="5">
        <v>770.92</v>
      </c>
    </row>
    <row r="172" spans="1:2" ht="14.25" customHeight="1">
      <c r="A172" s="5" t="s">
        <v>394</v>
      </c>
      <c r="B172" s="5">
        <v>931.48</v>
      </c>
    </row>
    <row r="173" spans="1:2" ht="14.25" customHeight="1">
      <c r="A173" s="5" t="s">
        <v>395</v>
      </c>
      <c r="B173" s="5">
        <v>459.07</v>
      </c>
    </row>
    <row r="174" spans="1:2" ht="14.25" customHeight="1">
      <c r="A174" s="5" t="s">
        <v>396</v>
      </c>
      <c r="B174" s="6">
        <v>1006.92</v>
      </c>
    </row>
    <row r="175" spans="1:2" ht="14.25" customHeight="1">
      <c r="A175" s="5" t="s">
        <v>397</v>
      </c>
      <c r="B175" s="5">
        <v>960.93</v>
      </c>
    </row>
    <row r="176" spans="1:2" ht="14.25" customHeight="1">
      <c r="A176" s="5" t="s">
        <v>398</v>
      </c>
      <c r="B176" s="6">
        <v>1151.98</v>
      </c>
    </row>
    <row r="177" spans="1:2" ht="14.25" customHeight="1">
      <c r="A177" s="5" t="s">
        <v>399</v>
      </c>
      <c r="B177" s="6">
        <v>2032.36</v>
      </c>
    </row>
    <row r="178" spans="1:2" ht="14.25" customHeight="1">
      <c r="A178" s="5" t="s">
        <v>400</v>
      </c>
      <c r="B178" s="5">
        <v>745.61</v>
      </c>
    </row>
    <row r="179" spans="1:2" ht="14.25" customHeight="1">
      <c r="A179" s="5" t="s">
        <v>401</v>
      </c>
      <c r="B179" s="6">
        <v>2280.21</v>
      </c>
    </row>
    <row r="180" spans="1:2" ht="14.25" customHeight="1">
      <c r="A180" s="5" t="s">
        <v>402</v>
      </c>
      <c r="B180" s="5">
        <v>690.68</v>
      </c>
    </row>
    <row r="181" spans="1:2" ht="14.25" customHeight="1">
      <c r="A181" s="5" t="s">
        <v>403</v>
      </c>
      <c r="B181" s="5">
        <v>908.08</v>
      </c>
    </row>
    <row r="182" spans="1:2" ht="14.25" customHeight="1">
      <c r="A182" s="5" t="s">
        <v>404</v>
      </c>
      <c r="B182" s="6">
        <v>2053.84</v>
      </c>
    </row>
    <row r="183" spans="1:2" ht="14.25" customHeight="1">
      <c r="A183" s="5" t="s">
        <v>405</v>
      </c>
      <c r="B183" s="6">
        <v>1438.07</v>
      </c>
    </row>
    <row r="184" spans="1:2" ht="14.25" customHeight="1">
      <c r="A184" s="5" t="s">
        <v>406</v>
      </c>
      <c r="B184" s="6">
        <v>1482.66</v>
      </c>
    </row>
    <row r="185" spans="1:2" ht="14.25" customHeight="1">
      <c r="A185" s="5" t="s">
        <v>407</v>
      </c>
      <c r="B185" s="5">
        <v>388.37</v>
      </c>
    </row>
    <row r="186" spans="1:2" ht="14.25" customHeight="1">
      <c r="A186" s="5" t="s">
        <v>408</v>
      </c>
      <c r="B186" s="5">
        <v>353.23</v>
      </c>
    </row>
    <row r="187" spans="1:2" ht="14.25" customHeight="1">
      <c r="A187" s="5" t="s">
        <v>409</v>
      </c>
      <c r="B187" s="5">
        <v>834.79</v>
      </c>
    </row>
    <row r="188" spans="1:2" ht="14.25" customHeight="1">
      <c r="A188" s="5" t="s">
        <v>410</v>
      </c>
      <c r="B188" s="5">
        <v>968.57</v>
      </c>
    </row>
    <row r="189" spans="1:2" ht="14.25" customHeight="1">
      <c r="A189" s="5" t="s">
        <v>411</v>
      </c>
      <c r="B189" s="5">
        <v>783.22</v>
      </c>
    </row>
    <row r="190" spans="1:2" ht="14.25" customHeight="1">
      <c r="A190" s="5" t="s">
        <v>412</v>
      </c>
      <c r="B190" s="5">
        <v>720.45</v>
      </c>
    </row>
    <row r="191" spans="1:2" ht="14.25" customHeight="1">
      <c r="A191" s="5" t="s">
        <v>413</v>
      </c>
      <c r="B191" s="5">
        <v>979.63</v>
      </c>
    </row>
    <row r="192" spans="1:2" ht="14.25" customHeight="1">
      <c r="A192" s="5" t="s">
        <v>414</v>
      </c>
      <c r="B192" s="6">
        <v>3521.53</v>
      </c>
    </row>
    <row r="193" spans="1:2" ht="14.25" customHeight="1">
      <c r="A193" s="5" t="s">
        <v>415</v>
      </c>
      <c r="B193" s="5">
        <v>419.35</v>
      </c>
    </row>
    <row r="194" spans="1:2" ht="14.25" customHeight="1">
      <c r="A194" s="5" t="s">
        <v>416</v>
      </c>
      <c r="B194" s="5">
        <v>227.46</v>
      </c>
    </row>
    <row r="195" spans="1:2" ht="14.25" customHeight="1">
      <c r="A195" s="5" t="s">
        <v>417</v>
      </c>
      <c r="B195" s="5">
        <v>390.85</v>
      </c>
    </row>
    <row r="196" spans="1:2" ht="14.25" customHeight="1">
      <c r="A196" s="5" t="s">
        <v>418</v>
      </c>
      <c r="B196" s="5">
        <v>441.81</v>
      </c>
    </row>
    <row r="197" spans="1:2" ht="14.25" customHeight="1">
      <c r="A197" s="5" t="s">
        <v>419</v>
      </c>
      <c r="B197" s="5">
        <v>426.44</v>
      </c>
    </row>
    <row r="198" spans="1:2" ht="14.25" customHeight="1">
      <c r="A198" s="5" t="s">
        <v>420</v>
      </c>
      <c r="B198" s="5">
        <v>738.55</v>
      </c>
    </row>
    <row r="199" spans="1:2" ht="14.25" customHeight="1">
      <c r="A199" s="5" t="s">
        <v>421</v>
      </c>
      <c r="B199" s="6">
        <v>1165.8599999999999</v>
      </c>
    </row>
    <row r="200" spans="1:2" ht="14.25" customHeight="1">
      <c r="A200" s="5" t="s">
        <v>422</v>
      </c>
      <c r="B200" s="6">
        <v>3114.87</v>
      </c>
    </row>
    <row r="201" spans="1:2" ht="14.25" customHeight="1">
      <c r="A201" s="5" t="s">
        <v>423</v>
      </c>
      <c r="B201" s="6">
        <v>1074.47</v>
      </c>
    </row>
    <row r="202" spans="1:2" ht="14.25" customHeight="1">
      <c r="A202" s="5" t="s">
        <v>424</v>
      </c>
      <c r="B202" s="5">
        <v>863.91</v>
      </c>
    </row>
    <row r="203" spans="1:2" ht="14.25" customHeight="1">
      <c r="A203" s="5" t="s">
        <v>425</v>
      </c>
      <c r="B203" s="6">
        <v>4382.9799999999996</v>
      </c>
    </row>
    <row r="204" spans="1:2" ht="14.25" customHeight="1">
      <c r="A204" s="5" t="s">
        <v>426</v>
      </c>
      <c r="B204" s="6">
        <v>1486.59</v>
      </c>
    </row>
    <row r="205" spans="1:2" ht="14.25" customHeight="1">
      <c r="A205" s="5" t="s">
        <v>427</v>
      </c>
      <c r="B205" s="6">
        <v>1764.61</v>
      </c>
    </row>
    <row r="206" spans="1:2" ht="14.25" customHeight="1">
      <c r="A206" s="5" t="s">
        <v>428</v>
      </c>
      <c r="B206" s="5">
        <v>222.95</v>
      </c>
    </row>
    <row r="207" spans="1:2" ht="14.25" customHeight="1">
      <c r="A207" s="5" t="s">
        <v>429</v>
      </c>
      <c r="B207" s="5">
        <v>271.01</v>
      </c>
    </row>
    <row r="208" spans="1:2" ht="14.25" customHeight="1">
      <c r="A208" s="5" t="s">
        <v>430</v>
      </c>
      <c r="B208" s="6">
        <v>3369.12</v>
      </c>
    </row>
    <row r="209" spans="1:2" ht="14.25" customHeight="1">
      <c r="A209" s="5" t="s">
        <v>431</v>
      </c>
      <c r="B209" s="6">
        <v>2578.5</v>
      </c>
    </row>
    <row r="210" spans="1:2" ht="14.25" customHeight="1">
      <c r="A210" s="5" t="s">
        <v>432</v>
      </c>
      <c r="B210" s="6">
        <v>1511.86</v>
      </c>
    </row>
    <row r="211" spans="1:2" ht="14.25" customHeight="1">
      <c r="A211" s="5" t="s">
        <v>433</v>
      </c>
      <c r="B211" s="6">
        <v>1651.66</v>
      </c>
    </row>
    <row r="212" spans="1:2" ht="14.25" customHeight="1">
      <c r="A212" s="5" t="s">
        <v>434</v>
      </c>
      <c r="B212" s="6">
        <v>1708.29</v>
      </c>
    </row>
    <row r="213" spans="1:2" ht="14.25" customHeight="1">
      <c r="A213" s="5" t="s">
        <v>435</v>
      </c>
      <c r="B213" s="6">
        <v>1957.75</v>
      </c>
    </row>
    <row r="214" spans="1:2" ht="14.25" customHeight="1">
      <c r="A214" s="5" t="s">
        <v>436</v>
      </c>
      <c r="B214" s="6">
        <v>1168.44</v>
      </c>
    </row>
    <row r="215" spans="1:2" ht="14.25" customHeight="1">
      <c r="A215" s="5" t="s">
        <v>437</v>
      </c>
      <c r="B215" s="6">
        <v>1188.78</v>
      </c>
    </row>
    <row r="216" spans="1:2" ht="14.25" customHeight="1">
      <c r="A216" s="5" t="s">
        <v>438</v>
      </c>
      <c r="B216" s="5">
        <v>716.72</v>
      </c>
    </row>
    <row r="217" spans="1:2" ht="14.25" customHeight="1">
      <c r="A217" s="5" t="s">
        <v>439</v>
      </c>
      <c r="B217" s="6">
        <v>1193.3900000000001</v>
      </c>
    </row>
    <row r="218" spans="1:2" ht="14.25" customHeight="1">
      <c r="A218" s="5" t="s">
        <v>440</v>
      </c>
      <c r="B218" s="6">
        <v>2140.11</v>
      </c>
    </row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workbookViewId="0"/>
  </sheetViews>
  <sheetFormatPr defaultColWidth="14.42578125" defaultRowHeight="15" customHeight="1"/>
  <cols>
    <col min="1" max="1" width="35.42578125" customWidth="1"/>
    <col min="2" max="2" width="23.42578125" customWidth="1"/>
    <col min="3" max="3" width="33.42578125" customWidth="1"/>
    <col min="4" max="4" width="8.7109375" customWidth="1"/>
    <col min="5" max="5" width="46.5703125" customWidth="1"/>
    <col min="6" max="11" width="8.7109375" customWidth="1"/>
  </cols>
  <sheetData>
    <row r="1" spans="1:5" ht="14.25" customHeight="1">
      <c r="A1" t="s">
        <v>222</v>
      </c>
      <c r="B1" t="s">
        <v>441</v>
      </c>
      <c r="C1" t="s">
        <v>442</v>
      </c>
    </row>
    <row r="2" spans="1:5" ht="14.25" customHeight="1">
      <c r="A2" t="s">
        <v>224</v>
      </c>
      <c r="B2" t="s">
        <v>443</v>
      </c>
      <c r="C2" t="s">
        <v>313</v>
      </c>
      <c r="E2" s="7"/>
    </row>
    <row r="3" spans="1:5" ht="14.25" customHeight="1">
      <c r="A3" t="s">
        <v>225</v>
      </c>
      <c r="B3" t="s">
        <v>444</v>
      </c>
      <c r="C3" t="s">
        <v>283</v>
      </c>
      <c r="E3" s="7"/>
    </row>
    <row r="4" spans="1:5" ht="14.25" customHeight="1">
      <c r="A4" t="s">
        <v>226</v>
      </c>
      <c r="B4" t="s">
        <v>444</v>
      </c>
      <c r="C4" t="s">
        <v>445</v>
      </c>
      <c r="E4" s="7"/>
    </row>
    <row r="5" spans="1:5" ht="14.25" customHeight="1">
      <c r="A5" t="s">
        <v>227</v>
      </c>
      <c r="B5" t="s">
        <v>446</v>
      </c>
      <c r="C5" t="s">
        <v>447</v>
      </c>
      <c r="E5" s="7"/>
    </row>
    <row r="6" spans="1:5" ht="14.25" customHeight="1">
      <c r="A6" t="s">
        <v>228</v>
      </c>
      <c r="B6" t="s">
        <v>444</v>
      </c>
      <c r="C6" t="s">
        <v>283</v>
      </c>
      <c r="E6" s="7"/>
    </row>
    <row r="7" spans="1:5" ht="14.25" customHeight="1">
      <c r="A7" t="s">
        <v>229</v>
      </c>
      <c r="B7" t="s">
        <v>443</v>
      </c>
      <c r="C7" t="s">
        <v>448</v>
      </c>
      <c r="E7" s="7"/>
    </row>
    <row r="8" spans="1:5" ht="14.25" customHeight="1">
      <c r="A8" t="s">
        <v>230</v>
      </c>
      <c r="B8" t="s">
        <v>444</v>
      </c>
      <c r="C8" t="s">
        <v>282</v>
      </c>
      <c r="E8" s="7"/>
    </row>
    <row r="9" spans="1:5" ht="14.25" customHeight="1">
      <c r="A9" t="s">
        <v>231</v>
      </c>
      <c r="B9" t="s">
        <v>443</v>
      </c>
      <c r="C9" t="s">
        <v>448</v>
      </c>
      <c r="E9" s="7"/>
    </row>
    <row r="10" spans="1:5" ht="14.25" customHeight="1">
      <c r="A10" t="s">
        <v>232</v>
      </c>
      <c r="B10" t="s">
        <v>449</v>
      </c>
      <c r="C10" t="s">
        <v>450</v>
      </c>
      <c r="E10" s="7"/>
    </row>
    <row r="11" spans="1:5" ht="14.25" customHeight="1">
      <c r="A11" t="s">
        <v>233</v>
      </c>
      <c r="B11" t="s">
        <v>443</v>
      </c>
      <c r="C11" t="s">
        <v>451</v>
      </c>
      <c r="E11" s="7"/>
    </row>
    <row r="12" spans="1:5" ht="14.25" customHeight="1">
      <c r="A12" t="s">
        <v>234</v>
      </c>
      <c r="B12" t="s">
        <v>443</v>
      </c>
      <c r="C12" t="s">
        <v>313</v>
      </c>
      <c r="E12" s="7"/>
    </row>
    <row r="13" spans="1:5" ht="14.25" customHeight="1">
      <c r="A13" t="s">
        <v>235</v>
      </c>
      <c r="B13" t="s">
        <v>446</v>
      </c>
      <c r="C13" t="s">
        <v>452</v>
      </c>
      <c r="E13" s="7"/>
    </row>
    <row r="14" spans="1:5" ht="14.25" customHeight="1">
      <c r="A14" t="s">
        <v>236</v>
      </c>
      <c r="B14" t="s">
        <v>444</v>
      </c>
      <c r="C14" t="s">
        <v>280</v>
      </c>
      <c r="E14" s="7"/>
    </row>
    <row r="15" spans="1:5" ht="14.25" customHeight="1">
      <c r="A15" t="s">
        <v>237</v>
      </c>
      <c r="B15" t="s">
        <v>446</v>
      </c>
      <c r="C15" t="s">
        <v>447</v>
      </c>
      <c r="E15" s="7"/>
    </row>
    <row r="16" spans="1:5" ht="14.25" customHeight="1">
      <c r="A16" t="s">
        <v>238</v>
      </c>
      <c r="B16" t="s">
        <v>443</v>
      </c>
      <c r="C16" t="s">
        <v>448</v>
      </c>
      <c r="E16" s="7"/>
    </row>
    <row r="17" spans="1:5" ht="14.25" customHeight="1">
      <c r="A17" t="s">
        <v>239</v>
      </c>
      <c r="B17" t="s">
        <v>444</v>
      </c>
      <c r="C17" t="s">
        <v>445</v>
      </c>
      <c r="E17" s="7"/>
    </row>
    <row r="18" spans="1:5" ht="14.25" customHeight="1">
      <c r="A18" t="s">
        <v>240</v>
      </c>
      <c r="B18" t="s">
        <v>453</v>
      </c>
      <c r="C18" t="s">
        <v>454</v>
      </c>
      <c r="E18" s="7"/>
    </row>
    <row r="19" spans="1:5" ht="14.25" customHeight="1">
      <c r="A19" t="s">
        <v>241</v>
      </c>
      <c r="B19" t="s">
        <v>446</v>
      </c>
      <c r="C19" t="s">
        <v>452</v>
      </c>
      <c r="E19" s="7"/>
    </row>
    <row r="20" spans="1:5" ht="14.25" customHeight="1">
      <c r="A20" t="s">
        <v>242</v>
      </c>
      <c r="B20" t="s">
        <v>446</v>
      </c>
      <c r="C20" t="s">
        <v>382</v>
      </c>
      <c r="E20" s="7"/>
    </row>
    <row r="21" spans="1:5" ht="14.25" customHeight="1">
      <c r="A21" t="s">
        <v>243</v>
      </c>
      <c r="B21" t="s">
        <v>453</v>
      </c>
      <c r="C21" t="s">
        <v>455</v>
      </c>
      <c r="E21" s="7"/>
    </row>
    <row r="22" spans="1:5" ht="14.25" customHeight="1">
      <c r="A22" t="s">
        <v>244</v>
      </c>
      <c r="B22" t="s">
        <v>446</v>
      </c>
      <c r="C22" t="s">
        <v>382</v>
      </c>
      <c r="E22" s="7"/>
    </row>
    <row r="23" spans="1:5" ht="14.25" customHeight="1">
      <c r="A23" t="s">
        <v>245</v>
      </c>
      <c r="B23" t="s">
        <v>446</v>
      </c>
      <c r="C23" t="s">
        <v>447</v>
      </c>
      <c r="E23" s="7"/>
    </row>
    <row r="24" spans="1:5" ht="14.25" customHeight="1">
      <c r="A24" t="s">
        <v>246</v>
      </c>
      <c r="B24" t="s">
        <v>446</v>
      </c>
      <c r="C24" t="s">
        <v>447</v>
      </c>
      <c r="E24" s="7"/>
    </row>
    <row r="25" spans="1:5" ht="14.25" customHeight="1">
      <c r="A25" t="s">
        <v>247</v>
      </c>
      <c r="B25" t="s">
        <v>449</v>
      </c>
      <c r="C25" t="s">
        <v>450</v>
      </c>
      <c r="E25" s="7"/>
    </row>
    <row r="26" spans="1:5" ht="14.25" customHeight="1">
      <c r="A26" t="s">
        <v>248</v>
      </c>
      <c r="B26" t="s">
        <v>444</v>
      </c>
      <c r="C26" t="s">
        <v>456</v>
      </c>
      <c r="E26" s="7"/>
    </row>
    <row r="27" spans="1:5" ht="14.25" customHeight="1">
      <c r="A27" t="s">
        <v>249</v>
      </c>
      <c r="B27" t="s">
        <v>453</v>
      </c>
      <c r="C27" t="s">
        <v>454</v>
      </c>
      <c r="E27" s="7"/>
    </row>
    <row r="28" spans="1:5" ht="14.25" customHeight="1">
      <c r="A28" t="s">
        <v>250</v>
      </c>
      <c r="B28" t="s">
        <v>446</v>
      </c>
      <c r="C28" t="s">
        <v>457</v>
      </c>
      <c r="E28" s="7"/>
    </row>
    <row r="29" spans="1:5" ht="14.25" customHeight="1">
      <c r="A29" t="s">
        <v>251</v>
      </c>
      <c r="B29" t="s">
        <v>446</v>
      </c>
      <c r="C29" t="s">
        <v>452</v>
      </c>
      <c r="E29" s="7"/>
    </row>
    <row r="30" spans="1:5" ht="14.25" customHeight="1">
      <c r="A30" t="s">
        <v>252</v>
      </c>
      <c r="B30" t="s">
        <v>444</v>
      </c>
      <c r="C30" t="s">
        <v>280</v>
      </c>
      <c r="E30" s="7"/>
    </row>
    <row r="31" spans="1:5" ht="14.25" customHeight="1">
      <c r="A31" t="s">
        <v>253</v>
      </c>
      <c r="B31" t="s">
        <v>449</v>
      </c>
      <c r="C31" t="s">
        <v>458</v>
      </c>
      <c r="E31" s="7"/>
    </row>
    <row r="32" spans="1:5" ht="14.25" customHeight="1">
      <c r="A32" t="s">
        <v>254</v>
      </c>
      <c r="B32" t="s">
        <v>446</v>
      </c>
      <c r="C32" t="s">
        <v>447</v>
      </c>
      <c r="E32" s="7"/>
    </row>
    <row r="33" spans="1:5" ht="14.25" customHeight="1">
      <c r="A33" t="s">
        <v>255</v>
      </c>
      <c r="B33" t="s">
        <v>453</v>
      </c>
      <c r="C33" t="s">
        <v>455</v>
      </c>
      <c r="E33" s="7"/>
    </row>
    <row r="34" spans="1:5" ht="14.25" customHeight="1">
      <c r="A34" t="s">
        <v>256</v>
      </c>
      <c r="B34" t="s">
        <v>443</v>
      </c>
      <c r="C34" t="s">
        <v>451</v>
      </c>
      <c r="E34" s="7"/>
    </row>
    <row r="35" spans="1:5" ht="14.25" customHeight="1">
      <c r="A35" t="s">
        <v>257</v>
      </c>
      <c r="B35" t="s">
        <v>443</v>
      </c>
      <c r="C35" t="s">
        <v>448</v>
      </c>
      <c r="E35" s="7"/>
    </row>
    <row r="36" spans="1:5" ht="14.25" customHeight="1">
      <c r="A36" t="s">
        <v>258</v>
      </c>
      <c r="B36" t="s">
        <v>443</v>
      </c>
      <c r="C36" t="s">
        <v>448</v>
      </c>
      <c r="E36" s="7"/>
    </row>
    <row r="37" spans="1:5" ht="14.25" customHeight="1">
      <c r="A37" t="s">
        <v>259</v>
      </c>
      <c r="B37" t="s">
        <v>453</v>
      </c>
      <c r="C37" t="s">
        <v>455</v>
      </c>
      <c r="E37" s="7"/>
    </row>
    <row r="38" spans="1:5" ht="14.25" customHeight="1">
      <c r="A38" t="s">
        <v>260</v>
      </c>
      <c r="B38" t="s">
        <v>444</v>
      </c>
      <c r="C38" t="s">
        <v>280</v>
      </c>
      <c r="E38" s="7"/>
    </row>
    <row r="39" spans="1:5" ht="14.25" customHeight="1">
      <c r="A39" t="s">
        <v>261</v>
      </c>
      <c r="B39" t="s">
        <v>443</v>
      </c>
      <c r="C39" t="s">
        <v>448</v>
      </c>
      <c r="E39" s="7"/>
    </row>
    <row r="40" spans="1:5" ht="14.25" customHeight="1">
      <c r="A40" t="s">
        <v>262</v>
      </c>
      <c r="B40" t="s">
        <v>444</v>
      </c>
      <c r="C40" t="s">
        <v>280</v>
      </c>
      <c r="E40" s="7"/>
    </row>
    <row r="41" spans="1:5" ht="14.25" customHeight="1">
      <c r="A41" t="s">
        <v>263</v>
      </c>
      <c r="B41" t="s">
        <v>444</v>
      </c>
      <c r="C41" t="s">
        <v>275</v>
      </c>
      <c r="E41" s="7"/>
    </row>
    <row r="42" spans="1:5" ht="14.25" customHeight="1">
      <c r="A42" t="s">
        <v>264</v>
      </c>
      <c r="B42" t="s">
        <v>443</v>
      </c>
      <c r="C42" t="s">
        <v>448</v>
      </c>
      <c r="E42" s="7"/>
    </row>
    <row r="43" spans="1:5" ht="14.25" customHeight="1">
      <c r="A43" t="s">
        <v>265</v>
      </c>
      <c r="B43" t="s">
        <v>443</v>
      </c>
      <c r="C43" t="s">
        <v>313</v>
      </c>
      <c r="E43" s="7"/>
    </row>
    <row r="44" spans="1:5" ht="14.25" customHeight="1">
      <c r="A44" t="s">
        <v>266</v>
      </c>
      <c r="B44" t="s">
        <v>446</v>
      </c>
      <c r="C44" t="s">
        <v>382</v>
      </c>
      <c r="E44" s="7"/>
    </row>
    <row r="45" spans="1:5" ht="14.25" customHeight="1">
      <c r="A45" t="s">
        <v>267</v>
      </c>
      <c r="B45" t="s">
        <v>446</v>
      </c>
      <c r="C45" t="s">
        <v>447</v>
      </c>
      <c r="E45" s="7"/>
    </row>
    <row r="46" spans="1:5" ht="14.25" customHeight="1">
      <c r="A46" t="s">
        <v>268</v>
      </c>
      <c r="B46" t="s">
        <v>446</v>
      </c>
      <c r="C46" t="s">
        <v>452</v>
      </c>
      <c r="E46" s="7"/>
    </row>
    <row r="47" spans="1:5" ht="14.25" customHeight="1">
      <c r="A47" t="s">
        <v>269</v>
      </c>
      <c r="B47" t="s">
        <v>449</v>
      </c>
      <c r="C47" t="s">
        <v>371</v>
      </c>
      <c r="E47" s="7"/>
    </row>
    <row r="48" spans="1:5" ht="14.25" customHeight="1">
      <c r="A48" t="s">
        <v>270</v>
      </c>
      <c r="B48" t="s">
        <v>443</v>
      </c>
      <c r="C48" t="s">
        <v>451</v>
      </c>
      <c r="E48" s="7"/>
    </row>
    <row r="49" spans="1:5" ht="14.25" customHeight="1">
      <c r="A49" t="s">
        <v>271</v>
      </c>
      <c r="B49" t="s">
        <v>446</v>
      </c>
      <c r="C49" t="s">
        <v>459</v>
      </c>
      <c r="E49" s="7"/>
    </row>
    <row r="50" spans="1:5" ht="14.25" customHeight="1">
      <c r="A50" t="s">
        <v>272</v>
      </c>
      <c r="B50" t="s">
        <v>444</v>
      </c>
      <c r="C50" t="s">
        <v>282</v>
      </c>
      <c r="E50" s="7"/>
    </row>
    <row r="51" spans="1:5" ht="14.25" customHeight="1">
      <c r="A51" t="s">
        <v>273</v>
      </c>
      <c r="B51" t="s">
        <v>449</v>
      </c>
      <c r="C51" t="s">
        <v>371</v>
      </c>
      <c r="E51" s="7"/>
    </row>
    <row r="52" spans="1:5" ht="14.25" customHeight="1">
      <c r="A52" t="s">
        <v>274</v>
      </c>
      <c r="B52" t="s">
        <v>443</v>
      </c>
      <c r="C52" t="s">
        <v>451</v>
      </c>
      <c r="E52" s="7"/>
    </row>
    <row r="53" spans="1:5" ht="14.25" customHeight="1">
      <c r="A53" t="s">
        <v>275</v>
      </c>
      <c r="B53" t="s">
        <v>444</v>
      </c>
      <c r="C53" t="s">
        <v>275</v>
      </c>
      <c r="E53" s="7"/>
    </row>
    <row r="54" spans="1:5" ht="14.25" customHeight="1">
      <c r="A54" t="s">
        <v>276</v>
      </c>
      <c r="B54" t="s">
        <v>446</v>
      </c>
      <c r="C54" t="s">
        <v>447</v>
      </c>
      <c r="E54" s="7"/>
    </row>
    <row r="55" spans="1:5" ht="14.25" customHeight="1">
      <c r="A55" t="s">
        <v>277</v>
      </c>
      <c r="B55" t="s">
        <v>446</v>
      </c>
      <c r="C55" t="s">
        <v>447</v>
      </c>
      <c r="E55" s="7"/>
    </row>
    <row r="56" spans="1:5" ht="14.25" customHeight="1">
      <c r="A56" t="s">
        <v>278</v>
      </c>
      <c r="B56" t="s">
        <v>443</v>
      </c>
      <c r="C56" t="s">
        <v>451</v>
      </c>
      <c r="E56" s="7"/>
    </row>
    <row r="57" spans="1:5" ht="14.25" customHeight="1">
      <c r="A57" t="s">
        <v>279</v>
      </c>
      <c r="B57" t="s">
        <v>443</v>
      </c>
      <c r="C57" t="s">
        <v>451</v>
      </c>
      <c r="E57" s="7"/>
    </row>
    <row r="58" spans="1:5" ht="14.25" customHeight="1">
      <c r="A58" t="s">
        <v>280</v>
      </c>
      <c r="B58" t="s">
        <v>444</v>
      </c>
      <c r="C58" t="s">
        <v>280</v>
      </c>
      <c r="E58" s="7"/>
    </row>
    <row r="59" spans="1:5" ht="14.25" customHeight="1">
      <c r="A59" t="s">
        <v>281</v>
      </c>
      <c r="B59" t="s">
        <v>443</v>
      </c>
      <c r="C59" t="s">
        <v>313</v>
      </c>
      <c r="E59" s="7"/>
    </row>
    <row r="60" spans="1:5" ht="14.25" customHeight="1">
      <c r="A60" t="s">
        <v>282</v>
      </c>
      <c r="B60" t="s">
        <v>444</v>
      </c>
      <c r="C60" t="s">
        <v>282</v>
      </c>
      <c r="E60" s="7"/>
    </row>
    <row r="61" spans="1:5" ht="14.25" customHeight="1">
      <c r="A61" t="s">
        <v>283</v>
      </c>
      <c r="B61" t="s">
        <v>444</v>
      </c>
      <c r="C61" t="s">
        <v>283</v>
      </c>
      <c r="E61" s="7"/>
    </row>
    <row r="62" spans="1:5" ht="14.25" customHeight="1">
      <c r="A62" t="s">
        <v>284</v>
      </c>
      <c r="B62" t="s">
        <v>444</v>
      </c>
      <c r="C62" t="s">
        <v>456</v>
      </c>
      <c r="E62" s="7"/>
    </row>
    <row r="63" spans="1:5" ht="14.25" customHeight="1">
      <c r="A63" t="s">
        <v>285</v>
      </c>
      <c r="B63" t="s">
        <v>446</v>
      </c>
      <c r="C63" t="s">
        <v>452</v>
      </c>
      <c r="E63" s="7"/>
    </row>
    <row r="64" spans="1:5" ht="14.25" customHeight="1">
      <c r="A64" t="s">
        <v>286</v>
      </c>
      <c r="B64" t="s">
        <v>444</v>
      </c>
      <c r="C64" t="s">
        <v>282</v>
      </c>
      <c r="E64" s="7"/>
    </row>
    <row r="65" spans="1:5" ht="14.25" customHeight="1">
      <c r="A65" t="s">
        <v>287</v>
      </c>
      <c r="B65" t="s">
        <v>446</v>
      </c>
      <c r="C65" t="s">
        <v>447</v>
      </c>
      <c r="E65" s="7"/>
    </row>
    <row r="66" spans="1:5" ht="14.25" customHeight="1">
      <c r="A66" t="s">
        <v>288</v>
      </c>
      <c r="B66" t="s">
        <v>443</v>
      </c>
      <c r="C66" t="s">
        <v>313</v>
      </c>
      <c r="E66" s="7"/>
    </row>
    <row r="67" spans="1:5" ht="14.25" customHeight="1">
      <c r="A67" t="s">
        <v>289</v>
      </c>
      <c r="B67" t="s">
        <v>453</v>
      </c>
      <c r="C67" t="s">
        <v>373</v>
      </c>
      <c r="E67" s="7"/>
    </row>
    <row r="68" spans="1:5" ht="14.25" customHeight="1">
      <c r="A68" t="s">
        <v>290</v>
      </c>
      <c r="B68" t="s">
        <v>444</v>
      </c>
      <c r="C68" t="s">
        <v>283</v>
      </c>
      <c r="E68" s="7"/>
    </row>
    <row r="69" spans="1:5" ht="14.25" customHeight="1">
      <c r="A69" t="s">
        <v>291</v>
      </c>
      <c r="B69" t="s">
        <v>453</v>
      </c>
      <c r="C69" t="s">
        <v>455</v>
      </c>
      <c r="E69" s="7"/>
    </row>
    <row r="70" spans="1:5" ht="14.25" customHeight="1">
      <c r="A70" t="s">
        <v>292</v>
      </c>
      <c r="B70" t="s">
        <v>449</v>
      </c>
      <c r="C70" t="s">
        <v>371</v>
      </c>
      <c r="E70" s="7"/>
    </row>
    <row r="71" spans="1:5" ht="14.25" customHeight="1">
      <c r="A71" t="s">
        <v>293</v>
      </c>
      <c r="B71" t="s">
        <v>449</v>
      </c>
      <c r="C71" t="s">
        <v>450</v>
      </c>
      <c r="E71" s="7"/>
    </row>
    <row r="72" spans="1:5" ht="14.25" customHeight="1">
      <c r="A72" t="s">
        <v>294</v>
      </c>
      <c r="B72" t="s">
        <v>453</v>
      </c>
      <c r="C72" t="s">
        <v>454</v>
      </c>
      <c r="E72" s="7"/>
    </row>
    <row r="73" spans="1:5" ht="14.25" customHeight="1">
      <c r="A73" t="s">
        <v>295</v>
      </c>
      <c r="B73" t="s">
        <v>453</v>
      </c>
      <c r="C73" t="s">
        <v>454</v>
      </c>
      <c r="E73" s="7"/>
    </row>
    <row r="74" spans="1:5" ht="14.25" customHeight="1">
      <c r="A74" t="s">
        <v>296</v>
      </c>
      <c r="B74" t="s">
        <v>449</v>
      </c>
      <c r="C74" t="s">
        <v>458</v>
      </c>
      <c r="E74" s="7"/>
    </row>
    <row r="75" spans="1:5" ht="14.25" customHeight="1">
      <c r="A75" t="s">
        <v>297</v>
      </c>
      <c r="B75" t="s">
        <v>453</v>
      </c>
      <c r="C75" t="s">
        <v>373</v>
      </c>
      <c r="E75" s="7"/>
    </row>
    <row r="76" spans="1:5" ht="14.25" customHeight="1">
      <c r="A76" t="s">
        <v>298</v>
      </c>
      <c r="B76" t="s">
        <v>443</v>
      </c>
      <c r="C76" t="s">
        <v>451</v>
      </c>
      <c r="E76" s="7"/>
    </row>
    <row r="77" spans="1:5" ht="14.25" customHeight="1">
      <c r="A77" t="s">
        <v>299</v>
      </c>
      <c r="B77" t="s">
        <v>453</v>
      </c>
      <c r="C77" t="s">
        <v>373</v>
      </c>
      <c r="E77" s="7"/>
    </row>
    <row r="78" spans="1:5" ht="14.25" customHeight="1">
      <c r="A78" t="s">
        <v>300</v>
      </c>
      <c r="B78" t="s">
        <v>453</v>
      </c>
      <c r="C78" t="s">
        <v>373</v>
      </c>
      <c r="E78" s="7"/>
    </row>
    <row r="79" spans="1:5" ht="14.25" customHeight="1">
      <c r="A79" t="s">
        <v>301</v>
      </c>
      <c r="B79" t="s">
        <v>443</v>
      </c>
      <c r="C79" t="s">
        <v>313</v>
      </c>
      <c r="E79" s="7"/>
    </row>
    <row r="80" spans="1:5" ht="14.25" customHeight="1">
      <c r="A80" t="s">
        <v>302</v>
      </c>
      <c r="B80" t="s">
        <v>453</v>
      </c>
      <c r="C80" t="s">
        <v>373</v>
      </c>
      <c r="E80" s="7"/>
    </row>
    <row r="81" spans="1:6" ht="14.25" customHeight="1">
      <c r="A81" t="s">
        <v>303</v>
      </c>
      <c r="B81" t="s">
        <v>453</v>
      </c>
      <c r="C81" t="s">
        <v>373</v>
      </c>
      <c r="E81" s="7"/>
    </row>
    <row r="82" spans="1:6" ht="14.25" customHeight="1">
      <c r="A82" t="s">
        <v>304</v>
      </c>
      <c r="B82" t="s">
        <v>443</v>
      </c>
      <c r="C82" t="s">
        <v>448</v>
      </c>
      <c r="E82" s="7"/>
    </row>
    <row r="83" spans="1:6" ht="14.25" customHeight="1">
      <c r="A83" t="s">
        <v>305</v>
      </c>
      <c r="B83" t="s">
        <v>443</v>
      </c>
      <c r="C83" t="s">
        <v>451</v>
      </c>
      <c r="E83" s="7"/>
    </row>
    <row r="84" spans="1:6" ht="14.25" customHeight="1">
      <c r="A84" t="s">
        <v>306</v>
      </c>
      <c r="B84" t="s">
        <v>453</v>
      </c>
      <c r="C84" t="s">
        <v>373</v>
      </c>
      <c r="E84" s="7"/>
    </row>
    <row r="85" spans="1:6" ht="14.25" customHeight="1">
      <c r="A85" t="s">
        <v>307</v>
      </c>
      <c r="B85" t="s">
        <v>453</v>
      </c>
      <c r="C85" t="s">
        <v>454</v>
      </c>
      <c r="E85" s="7"/>
    </row>
    <row r="86" spans="1:6" ht="14.25" customHeight="1">
      <c r="A86" t="s">
        <v>308</v>
      </c>
      <c r="B86" t="s">
        <v>446</v>
      </c>
      <c r="C86" t="s">
        <v>447</v>
      </c>
      <c r="D86" s="8"/>
      <c r="E86" s="7"/>
      <c r="F86" s="9"/>
    </row>
    <row r="87" spans="1:6" ht="14.25" customHeight="1">
      <c r="A87" t="s">
        <v>309</v>
      </c>
      <c r="B87" t="s">
        <v>446</v>
      </c>
      <c r="C87" t="s">
        <v>457</v>
      </c>
      <c r="D87" s="8"/>
      <c r="E87" s="7"/>
      <c r="F87" s="9"/>
    </row>
    <row r="88" spans="1:6" ht="14.25" customHeight="1">
      <c r="A88" t="s">
        <v>310</v>
      </c>
      <c r="B88" t="s">
        <v>446</v>
      </c>
      <c r="C88" t="s">
        <v>382</v>
      </c>
      <c r="D88" s="8"/>
      <c r="E88" s="7"/>
      <c r="F88" s="9"/>
    </row>
    <row r="89" spans="1:6" ht="14.25" customHeight="1">
      <c r="A89" t="s">
        <v>311</v>
      </c>
      <c r="B89" t="s">
        <v>446</v>
      </c>
      <c r="C89" t="s">
        <v>452</v>
      </c>
      <c r="D89" s="8"/>
      <c r="E89" s="7"/>
      <c r="F89" s="9"/>
    </row>
    <row r="90" spans="1:6" ht="14.25" customHeight="1">
      <c r="A90" t="s">
        <v>312</v>
      </c>
      <c r="B90" t="s">
        <v>453</v>
      </c>
      <c r="C90" t="s">
        <v>455</v>
      </c>
      <c r="D90" s="10"/>
      <c r="E90" s="7"/>
      <c r="F90" s="9"/>
    </row>
    <row r="91" spans="1:6" ht="14.25" customHeight="1">
      <c r="A91" t="s">
        <v>313</v>
      </c>
      <c r="B91" t="s">
        <v>443</v>
      </c>
      <c r="C91" t="s">
        <v>313</v>
      </c>
      <c r="D91" s="8"/>
      <c r="E91" s="7"/>
      <c r="F91" s="9"/>
    </row>
    <row r="92" spans="1:6" ht="14.25" customHeight="1">
      <c r="A92" t="s">
        <v>314</v>
      </c>
      <c r="B92" t="s">
        <v>453</v>
      </c>
      <c r="C92" t="s">
        <v>454</v>
      </c>
      <c r="D92" s="8"/>
      <c r="E92" s="7"/>
      <c r="F92" s="9"/>
    </row>
    <row r="93" spans="1:6" ht="14.25" customHeight="1">
      <c r="A93" t="s">
        <v>459</v>
      </c>
      <c r="B93" t="s">
        <v>446</v>
      </c>
      <c r="C93" t="s">
        <v>459</v>
      </c>
      <c r="E93" s="7"/>
    </row>
    <row r="94" spans="1:6" ht="14.25" customHeight="1">
      <c r="A94" t="s">
        <v>316</v>
      </c>
      <c r="B94" t="s">
        <v>443</v>
      </c>
      <c r="C94" t="s">
        <v>313</v>
      </c>
      <c r="E94" s="7"/>
    </row>
    <row r="95" spans="1:6" ht="14.25" customHeight="1">
      <c r="A95" t="s">
        <v>317</v>
      </c>
      <c r="B95" t="s">
        <v>444</v>
      </c>
      <c r="C95" t="s">
        <v>456</v>
      </c>
      <c r="E95" s="7"/>
    </row>
    <row r="96" spans="1:6" ht="14.25" customHeight="1">
      <c r="A96" t="s">
        <v>318</v>
      </c>
      <c r="B96" t="s">
        <v>453</v>
      </c>
      <c r="C96" t="s">
        <v>454</v>
      </c>
      <c r="E96" s="7"/>
    </row>
    <row r="97" spans="1:5" ht="14.25" customHeight="1">
      <c r="A97" t="s">
        <v>319</v>
      </c>
      <c r="B97" t="s">
        <v>443</v>
      </c>
      <c r="C97" t="s">
        <v>313</v>
      </c>
      <c r="E97" s="7"/>
    </row>
    <row r="98" spans="1:5" ht="14.25" customHeight="1">
      <c r="A98" t="s">
        <v>320</v>
      </c>
      <c r="B98" t="s">
        <v>453</v>
      </c>
      <c r="C98" t="s">
        <v>454</v>
      </c>
      <c r="E98" s="7"/>
    </row>
    <row r="99" spans="1:5" ht="14.25" customHeight="1">
      <c r="A99" t="s">
        <v>321</v>
      </c>
      <c r="B99" t="s">
        <v>443</v>
      </c>
      <c r="C99" t="s">
        <v>451</v>
      </c>
      <c r="E99" s="7"/>
    </row>
    <row r="100" spans="1:5" ht="14.25" customHeight="1">
      <c r="A100" t="s">
        <v>322</v>
      </c>
      <c r="B100" t="s">
        <v>443</v>
      </c>
      <c r="C100" t="s">
        <v>448</v>
      </c>
      <c r="E100" s="7"/>
    </row>
    <row r="101" spans="1:5" ht="14.25" customHeight="1">
      <c r="A101" t="s">
        <v>323</v>
      </c>
      <c r="B101" t="s">
        <v>453</v>
      </c>
      <c r="C101" t="s">
        <v>455</v>
      </c>
      <c r="E101" s="7"/>
    </row>
    <row r="102" spans="1:5" ht="14.25" customHeight="1">
      <c r="A102" t="s">
        <v>324</v>
      </c>
      <c r="B102" t="s">
        <v>453</v>
      </c>
      <c r="C102" t="s">
        <v>455</v>
      </c>
      <c r="E102" s="7"/>
    </row>
    <row r="103" spans="1:5" ht="14.25" customHeight="1">
      <c r="A103" t="s">
        <v>325</v>
      </c>
      <c r="B103" t="s">
        <v>453</v>
      </c>
      <c r="C103" t="s">
        <v>455</v>
      </c>
      <c r="E103" s="7"/>
    </row>
    <row r="104" spans="1:5" ht="14.25" customHeight="1">
      <c r="A104" t="s">
        <v>326</v>
      </c>
      <c r="B104" t="s">
        <v>444</v>
      </c>
      <c r="C104" t="s">
        <v>456</v>
      </c>
      <c r="E104" s="7"/>
    </row>
    <row r="105" spans="1:5" ht="14.25" customHeight="1">
      <c r="A105" t="s">
        <v>327</v>
      </c>
      <c r="B105" t="s">
        <v>443</v>
      </c>
      <c r="C105" t="s">
        <v>448</v>
      </c>
      <c r="E105" s="7"/>
    </row>
    <row r="106" spans="1:5" ht="14.25" customHeight="1">
      <c r="A106" t="s">
        <v>328</v>
      </c>
      <c r="B106" t="s">
        <v>443</v>
      </c>
      <c r="C106" t="s">
        <v>313</v>
      </c>
      <c r="E106" s="7"/>
    </row>
    <row r="107" spans="1:5" ht="14.25" customHeight="1">
      <c r="A107" t="s">
        <v>329</v>
      </c>
      <c r="B107" t="s">
        <v>453</v>
      </c>
      <c r="C107" t="s">
        <v>455</v>
      </c>
      <c r="E107" s="7"/>
    </row>
    <row r="108" spans="1:5" ht="14.25" customHeight="1">
      <c r="A108" t="s">
        <v>330</v>
      </c>
      <c r="B108" t="s">
        <v>449</v>
      </c>
      <c r="C108" t="s">
        <v>458</v>
      </c>
      <c r="E108" s="7"/>
    </row>
    <row r="109" spans="1:5" ht="14.25" customHeight="1">
      <c r="A109" t="s">
        <v>331</v>
      </c>
      <c r="B109" t="s">
        <v>443</v>
      </c>
      <c r="C109" t="s">
        <v>451</v>
      </c>
      <c r="E109" s="7"/>
    </row>
    <row r="110" spans="1:5" ht="14.25" customHeight="1">
      <c r="A110" t="s">
        <v>332</v>
      </c>
      <c r="B110" t="s">
        <v>444</v>
      </c>
      <c r="C110" t="s">
        <v>445</v>
      </c>
      <c r="E110" s="7"/>
    </row>
    <row r="111" spans="1:5" ht="14.25" customHeight="1">
      <c r="A111" t="s">
        <v>333</v>
      </c>
      <c r="B111" t="s">
        <v>443</v>
      </c>
      <c r="C111" t="s">
        <v>451</v>
      </c>
      <c r="E111" s="7"/>
    </row>
    <row r="112" spans="1:5" ht="14.25" customHeight="1">
      <c r="A112" t="s">
        <v>334</v>
      </c>
      <c r="B112" t="s">
        <v>443</v>
      </c>
      <c r="C112" t="s">
        <v>448</v>
      </c>
      <c r="E112" s="7"/>
    </row>
    <row r="113" spans="1:5" ht="14.25" customHeight="1">
      <c r="A113" t="s">
        <v>335</v>
      </c>
      <c r="B113" t="s">
        <v>443</v>
      </c>
      <c r="C113" t="s">
        <v>451</v>
      </c>
      <c r="E113" s="7"/>
    </row>
    <row r="114" spans="1:5" ht="14.25" customHeight="1">
      <c r="A114" t="s">
        <v>336</v>
      </c>
      <c r="B114" t="s">
        <v>444</v>
      </c>
      <c r="C114" t="s">
        <v>280</v>
      </c>
      <c r="E114" s="7"/>
    </row>
    <row r="115" spans="1:5" ht="14.25" customHeight="1">
      <c r="A115" t="s">
        <v>337</v>
      </c>
      <c r="B115" t="s">
        <v>446</v>
      </c>
      <c r="C115" t="s">
        <v>452</v>
      </c>
      <c r="E115" s="7"/>
    </row>
    <row r="116" spans="1:5" ht="14.25" customHeight="1">
      <c r="A116" t="s">
        <v>338</v>
      </c>
      <c r="B116" t="s">
        <v>444</v>
      </c>
      <c r="C116" t="s">
        <v>275</v>
      </c>
      <c r="E116" s="7"/>
    </row>
    <row r="117" spans="1:5" ht="14.25" customHeight="1">
      <c r="A117" t="s">
        <v>339</v>
      </c>
      <c r="B117" t="s">
        <v>446</v>
      </c>
      <c r="C117" t="s">
        <v>459</v>
      </c>
      <c r="E117" s="7"/>
    </row>
    <row r="118" spans="1:5" ht="14.25" customHeight="1">
      <c r="A118" t="s">
        <v>340</v>
      </c>
      <c r="B118" t="s">
        <v>444</v>
      </c>
      <c r="C118" t="s">
        <v>280</v>
      </c>
      <c r="E118" s="7"/>
    </row>
    <row r="119" spans="1:5" ht="14.25" customHeight="1">
      <c r="A119" t="s">
        <v>341</v>
      </c>
      <c r="B119" t="s">
        <v>444</v>
      </c>
      <c r="C119" t="s">
        <v>456</v>
      </c>
      <c r="E119" s="7"/>
    </row>
    <row r="120" spans="1:5" ht="14.25" customHeight="1">
      <c r="A120" t="s">
        <v>342</v>
      </c>
      <c r="B120" t="s">
        <v>446</v>
      </c>
      <c r="C120" t="s">
        <v>459</v>
      </c>
      <c r="E120" s="7"/>
    </row>
    <row r="121" spans="1:5" ht="14.25" customHeight="1">
      <c r="A121" t="s">
        <v>343</v>
      </c>
      <c r="B121" t="s">
        <v>446</v>
      </c>
      <c r="C121" t="s">
        <v>447</v>
      </c>
      <c r="E121" s="7"/>
    </row>
    <row r="122" spans="1:5" ht="14.25" customHeight="1">
      <c r="A122" t="s">
        <v>344</v>
      </c>
      <c r="B122" t="s">
        <v>446</v>
      </c>
      <c r="C122" t="s">
        <v>452</v>
      </c>
      <c r="E122" s="7"/>
    </row>
    <row r="123" spans="1:5" ht="14.25" customHeight="1">
      <c r="A123" t="s">
        <v>345</v>
      </c>
      <c r="B123" t="s">
        <v>443</v>
      </c>
      <c r="C123" t="s">
        <v>313</v>
      </c>
      <c r="E123" s="7"/>
    </row>
    <row r="124" spans="1:5" ht="14.25" customHeight="1">
      <c r="A124" t="s">
        <v>346</v>
      </c>
      <c r="B124" t="s">
        <v>446</v>
      </c>
      <c r="C124" t="s">
        <v>382</v>
      </c>
      <c r="E124" s="7"/>
    </row>
    <row r="125" spans="1:5" ht="14.25" customHeight="1">
      <c r="A125" t="s">
        <v>347</v>
      </c>
      <c r="B125" t="s">
        <v>446</v>
      </c>
      <c r="C125" t="s">
        <v>459</v>
      </c>
      <c r="E125" s="7"/>
    </row>
    <row r="126" spans="1:5" ht="14.25" customHeight="1">
      <c r="A126" t="s">
        <v>348</v>
      </c>
      <c r="B126" t="s">
        <v>449</v>
      </c>
      <c r="C126" t="s">
        <v>458</v>
      </c>
      <c r="E126" s="7"/>
    </row>
    <row r="127" spans="1:5" ht="14.25" customHeight="1">
      <c r="A127" t="s">
        <v>349</v>
      </c>
      <c r="B127" t="s">
        <v>444</v>
      </c>
      <c r="C127" t="s">
        <v>456</v>
      </c>
      <c r="E127" s="7"/>
    </row>
    <row r="128" spans="1:5" ht="14.25" customHeight="1">
      <c r="A128" t="s">
        <v>350</v>
      </c>
      <c r="B128" t="s">
        <v>443</v>
      </c>
      <c r="C128" t="s">
        <v>448</v>
      </c>
      <c r="E128" s="7"/>
    </row>
    <row r="129" spans="1:5" ht="14.25" customHeight="1">
      <c r="A129" t="s">
        <v>460</v>
      </c>
      <c r="B129" t="s">
        <v>453</v>
      </c>
      <c r="C129" t="s">
        <v>455</v>
      </c>
      <c r="E129" s="7"/>
    </row>
    <row r="130" spans="1:5" ht="14.25" customHeight="1">
      <c r="A130" t="s">
        <v>352</v>
      </c>
      <c r="B130" t="s">
        <v>446</v>
      </c>
      <c r="C130" t="s">
        <v>452</v>
      </c>
      <c r="E130" s="7"/>
    </row>
    <row r="131" spans="1:5" ht="14.25" customHeight="1">
      <c r="A131" t="s">
        <v>353</v>
      </c>
      <c r="B131" t="s">
        <v>446</v>
      </c>
      <c r="C131" t="s">
        <v>461</v>
      </c>
      <c r="E131" s="7"/>
    </row>
    <row r="132" spans="1:5" ht="14.25" customHeight="1">
      <c r="A132" t="s">
        <v>354</v>
      </c>
      <c r="B132" t="s">
        <v>446</v>
      </c>
      <c r="C132" t="s">
        <v>452</v>
      </c>
      <c r="E132" s="7"/>
    </row>
    <row r="133" spans="1:5" ht="14.25" customHeight="1">
      <c r="A133" t="s">
        <v>355</v>
      </c>
      <c r="B133" t="s">
        <v>444</v>
      </c>
      <c r="C133" t="s">
        <v>456</v>
      </c>
      <c r="E133" s="7"/>
    </row>
    <row r="134" spans="1:5" ht="14.25" customHeight="1">
      <c r="A134" t="s">
        <v>356</v>
      </c>
      <c r="B134" t="s">
        <v>444</v>
      </c>
      <c r="C134" t="s">
        <v>275</v>
      </c>
      <c r="E134" s="7"/>
    </row>
    <row r="135" spans="1:5" ht="14.25" customHeight="1">
      <c r="A135" t="s">
        <v>357</v>
      </c>
      <c r="B135" t="s">
        <v>444</v>
      </c>
      <c r="C135" t="s">
        <v>456</v>
      </c>
      <c r="E135" s="7"/>
    </row>
    <row r="136" spans="1:5" ht="14.25" customHeight="1">
      <c r="A136" t="s">
        <v>358</v>
      </c>
      <c r="B136" t="s">
        <v>444</v>
      </c>
      <c r="C136" t="s">
        <v>456</v>
      </c>
      <c r="E136" s="7"/>
    </row>
    <row r="137" spans="1:5" ht="14.25" customHeight="1">
      <c r="A137" t="s">
        <v>359</v>
      </c>
      <c r="B137" t="s">
        <v>446</v>
      </c>
      <c r="C137" t="s">
        <v>457</v>
      </c>
      <c r="E137" s="7"/>
    </row>
    <row r="138" spans="1:5" ht="14.25" customHeight="1">
      <c r="A138" t="s">
        <v>360</v>
      </c>
      <c r="B138" t="s">
        <v>443</v>
      </c>
      <c r="C138" t="s">
        <v>448</v>
      </c>
      <c r="E138" s="7"/>
    </row>
    <row r="139" spans="1:5" ht="14.25" customHeight="1">
      <c r="A139" t="s">
        <v>361</v>
      </c>
      <c r="B139" t="s">
        <v>453</v>
      </c>
      <c r="C139" t="s">
        <v>455</v>
      </c>
      <c r="E139" s="7"/>
    </row>
    <row r="140" spans="1:5" ht="14.25" customHeight="1">
      <c r="A140" t="s">
        <v>362</v>
      </c>
      <c r="B140" t="s">
        <v>446</v>
      </c>
      <c r="C140" t="s">
        <v>452</v>
      </c>
      <c r="E140" s="7"/>
    </row>
    <row r="141" spans="1:5" ht="14.25" customHeight="1">
      <c r="A141" t="s">
        <v>363</v>
      </c>
      <c r="B141" t="s">
        <v>446</v>
      </c>
      <c r="C141" t="s">
        <v>452</v>
      </c>
      <c r="E141" s="7"/>
    </row>
    <row r="142" spans="1:5" ht="14.25" customHeight="1">
      <c r="A142" t="s">
        <v>364</v>
      </c>
      <c r="B142" t="s">
        <v>446</v>
      </c>
      <c r="C142" t="s">
        <v>452</v>
      </c>
      <c r="E142" s="7"/>
    </row>
    <row r="143" spans="1:5" ht="14.25" customHeight="1">
      <c r="A143" t="s">
        <v>365</v>
      </c>
      <c r="B143" t="s">
        <v>444</v>
      </c>
      <c r="C143" t="s">
        <v>282</v>
      </c>
      <c r="E143" s="7"/>
    </row>
    <row r="144" spans="1:5" ht="14.25" customHeight="1">
      <c r="A144" t="s">
        <v>366</v>
      </c>
      <c r="B144" t="s">
        <v>443</v>
      </c>
      <c r="C144" t="s">
        <v>448</v>
      </c>
      <c r="E144" s="7"/>
    </row>
    <row r="145" spans="1:5" ht="14.25" customHeight="1">
      <c r="A145" t="s">
        <v>367</v>
      </c>
      <c r="B145" t="s">
        <v>446</v>
      </c>
      <c r="C145" t="s">
        <v>452</v>
      </c>
      <c r="E145" s="7"/>
    </row>
    <row r="146" spans="1:5" ht="14.25" customHeight="1">
      <c r="A146" t="s">
        <v>368</v>
      </c>
      <c r="B146" t="s">
        <v>453</v>
      </c>
      <c r="C146" t="s">
        <v>455</v>
      </c>
      <c r="E146" s="7"/>
    </row>
    <row r="147" spans="1:5" ht="14.25" customHeight="1">
      <c r="A147" t="s">
        <v>369</v>
      </c>
      <c r="B147" t="s">
        <v>446</v>
      </c>
      <c r="C147" t="s">
        <v>459</v>
      </c>
      <c r="E147" s="7"/>
    </row>
    <row r="148" spans="1:5" ht="14.25" customHeight="1">
      <c r="A148" t="s">
        <v>370</v>
      </c>
      <c r="B148" t="s">
        <v>453</v>
      </c>
      <c r="C148" t="s">
        <v>455</v>
      </c>
      <c r="E148" s="7"/>
    </row>
    <row r="149" spans="1:5" ht="14.25" customHeight="1">
      <c r="A149" t="s">
        <v>371</v>
      </c>
      <c r="B149" t="s">
        <v>449</v>
      </c>
      <c r="C149" t="s">
        <v>371</v>
      </c>
      <c r="E149" s="7"/>
    </row>
    <row r="150" spans="1:5" ht="14.25" customHeight="1">
      <c r="A150" t="s">
        <v>372</v>
      </c>
      <c r="B150" t="s">
        <v>446</v>
      </c>
      <c r="C150" t="s">
        <v>447</v>
      </c>
      <c r="E150" s="7"/>
    </row>
    <row r="151" spans="1:5" ht="14.25" customHeight="1">
      <c r="A151" t="s">
        <v>373</v>
      </c>
      <c r="B151" t="s">
        <v>453</v>
      </c>
      <c r="C151" t="s">
        <v>373</v>
      </c>
      <c r="E151" s="7"/>
    </row>
    <row r="152" spans="1:5" ht="14.25" customHeight="1">
      <c r="A152" t="s">
        <v>374</v>
      </c>
      <c r="B152" t="s">
        <v>446</v>
      </c>
      <c r="C152" t="s">
        <v>382</v>
      </c>
      <c r="E152" s="7"/>
    </row>
    <row r="153" spans="1:5" ht="14.25" customHeight="1">
      <c r="A153" t="s">
        <v>375</v>
      </c>
      <c r="B153" t="s">
        <v>443</v>
      </c>
      <c r="C153" t="s">
        <v>448</v>
      </c>
      <c r="E153" s="7"/>
    </row>
    <row r="154" spans="1:5" ht="14.25" customHeight="1">
      <c r="A154" t="s">
        <v>376</v>
      </c>
      <c r="B154" t="s">
        <v>446</v>
      </c>
      <c r="C154" t="s">
        <v>452</v>
      </c>
      <c r="E154" s="7"/>
    </row>
    <row r="155" spans="1:5" ht="14.25" customHeight="1">
      <c r="A155" t="s">
        <v>377</v>
      </c>
      <c r="B155" t="s">
        <v>446</v>
      </c>
      <c r="C155" t="s">
        <v>459</v>
      </c>
      <c r="E155" s="7"/>
    </row>
    <row r="156" spans="1:5" ht="14.25" customHeight="1">
      <c r="A156" t="s">
        <v>378</v>
      </c>
      <c r="B156" t="s">
        <v>446</v>
      </c>
      <c r="C156" t="s">
        <v>457</v>
      </c>
      <c r="E156" s="7"/>
    </row>
    <row r="157" spans="1:5" ht="14.25" customHeight="1">
      <c r="A157" t="s">
        <v>379</v>
      </c>
      <c r="B157" t="s">
        <v>446</v>
      </c>
      <c r="C157" t="s">
        <v>461</v>
      </c>
      <c r="E157" s="7"/>
    </row>
    <row r="158" spans="1:5" ht="14.25" customHeight="1">
      <c r="A158" t="s">
        <v>380</v>
      </c>
      <c r="B158" t="s">
        <v>449</v>
      </c>
      <c r="C158" t="s">
        <v>450</v>
      </c>
      <c r="E158" s="7"/>
    </row>
    <row r="159" spans="1:5" ht="14.25" customHeight="1">
      <c r="A159" t="s">
        <v>381</v>
      </c>
      <c r="B159" t="s">
        <v>443</v>
      </c>
      <c r="C159" t="s">
        <v>313</v>
      </c>
      <c r="E159" s="7"/>
    </row>
    <row r="160" spans="1:5" ht="14.25" customHeight="1">
      <c r="A160" t="s">
        <v>382</v>
      </c>
      <c r="B160" t="s">
        <v>446</v>
      </c>
      <c r="C160" t="s">
        <v>382</v>
      </c>
      <c r="E160" s="7"/>
    </row>
    <row r="161" spans="1:5" ht="14.25" customHeight="1">
      <c r="A161" t="s">
        <v>383</v>
      </c>
      <c r="B161" t="s">
        <v>449</v>
      </c>
      <c r="C161" t="s">
        <v>458</v>
      </c>
      <c r="E161" s="7"/>
    </row>
    <row r="162" spans="1:5" ht="14.25" customHeight="1">
      <c r="A162" t="s">
        <v>384</v>
      </c>
      <c r="B162" t="s">
        <v>453</v>
      </c>
      <c r="C162" t="s">
        <v>454</v>
      </c>
      <c r="E162" s="7"/>
    </row>
    <row r="163" spans="1:5" ht="14.25" customHeight="1">
      <c r="A163" t="s">
        <v>385</v>
      </c>
      <c r="B163" t="s">
        <v>446</v>
      </c>
      <c r="C163" t="s">
        <v>452</v>
      </c>
      <c r="E163" s="7"/>
    </row>
    <row r="164" spans="1:5" ht="14.25" customHeight="1">
      <c r="A164" t="s">
        <v>386</v>
      </c>
      <c r="B164" t="s">
        <v>443</v>
      </c>
      <c r="C164" t="s">
        <v>448</v>
      </c>
      <c r="E164" s="7"/>
    </row>
    <row r="165" spans="1:5" ht="14.25" customHeight="1">
      <c r="A165" t="s">
        <v>387</v>
      </c>
      <c r="B165" t="s">
        <v>443</v>
      </c>
      <c r="C165" t="s">
        <v>448</v>
      </c>
      <c r="E165" s="7"/>
    </row>
    <row r="166" spans="1:5" ht="14.25" customHeight="1">
      <c r="A166" t="s">
        <v>388</v>
      </c>
      <c r="B166" t="s">
        <v>443</v>
      </c>
      <c r="C166" t="s">
        <v>448</v>
      </c>
      <c r="E166" s="7"/>
    </row>
    <row r="167" spans="1:5" ht="14.25" customHeight="1">
      <c r="A167" t="s">
        <v>389</v>
      </c>
      <c r="B167" t="s">
        <v>444</v>
      </c>
      <c r="C167" t="s">
        <v>445</v>
      </c>
      <c r="E167" s="7"/>
    </row>
    <row r="168" spans="1:5" ht="14.25" customHeight="1">
      <c r="A168" t="s">
        <v>390</v>
      </c>
      <c r="B168" t="s">
        <v>446</v>
      </c>
      <c r="C168" t="s">
        <v>382</v>
      </c>
      <c r="E168" s="7"/>
    </row>
    <row r="169" spans="1:5" ht="14.25" customHeight="1">
      <c r="A169" t="s">
        <v>391</v>
      </c>
      <c r="B169" t="s">
        <v>444</v>
      </c>
      <c r="C169" t="s">
        <v>445</v>
      </c>
      <c r="E169" s="7"/>
    </row>
    <row r="170" spans="1:5" ht="14.25" customHeight="1">
      <c r="A170" t="s">
        <v>392</v>
      </c>
      <c r="B170" t="s">
        <v>446</v>
      </c>
      <c r="C170" t="s">
        <v>457</v>
      </c>
      <c r="E170" s="7"/>
    </row>
    <row r="171" spans="1:5" ht="14.25" customHeight="1">
      <c r="A171" t="s">
        <v>393</v>
      </c>
      <c r="B171" t="s">
        <v>453</v>
      </c>
      <c r="C171" t="s">
        <v>455</v>
      </c>
      <c r="E171" s="7"/>
    </row>
    <row r="172" spans="1:5" ht="14.25" customHeight="1">
      <c r="A172" t="s">
        <v>394</v>
      </c>
      <c r="B172" t="s">
        <v>444</v>
      </c>
      <c r="C172" t="s">
        <v>280</v>
      </c>
      <c r="E172" s="7"/>
    </row>
    <row r="173" spans="1:5" ht="14.25" customHeight="1">
      <c r="A173" t="s">
        <v>395</v>
      </c>
      <c r="B173" t="s">
        <v>446</v>
      </c>
      <c r="C173" t="s">
        <v>452</v>
      </c>
      <c r="E173" s="7"/>
    </row>
    <row r="174" spans="1:5" ht="14.25" customHeight="1">
      <c r="A174" t="s">
        <v>396</v>
      </c>
      <c r="B174" t="s">
        <v>444</v>
      </c>
      <c r="C174" t="s">
        <v>445</v>
      </c>
      <c r="E174" s="7"/>
    </row>
    <row r="175" spans="1:5" ht="14.25" customHeight="1">
      <c r="A175" t="s">
        <v>397</v>
      </c>
      <c r="B175" t="s">
        <v>449</v>
      </c>
      <c r="C175" t="s">
        <v>458</v>
      </c>
      <c r="E175" s="7"/>
    </row>
    <row r="176" spans="1:5" ht="14.25" customHeight="1">
      <c r="A176" t="s">
        <v>398</v>
      </c>
      <c r="B176" t="s">
        <v>453</v>
      </c>
      <c r="C176" t="s">
        <v>373</v>
      </c>
      <c r="E176" s="7"/>
    </row>
    <row r="177" spans="1:5" ht="14.25" customHeight="1">
      <c r="A177" t="s">
        <v>399</v>
      </c>
      <c r="B177" t="s">
        <v>449</v>
      </c>
      <c r="C177" t="s">
        <v>458</v>
      </c>
      <c r="E177" s="7"/>
    </row>
    <row r="178" spans="1:5" ht="14.25" customHeight="1">
      <c r="A178" t="s">
        <v>400</v>
      </c>
      <c r="B178" t="s">
        <v>443</v>
      </c>
      <c r="C178" t="s">
        <v>313</v>
      </c>
      <c r="E178" s="7"/>
    </row>
    <row r="179" spans="1:5" ht="14.25" customHeight="1">
      <c r="A179" t="s">
        <v>401</v>
      </c>
      <c r="B179" t="s">
        <v>444</v>
      </c>
      <c r="C179" t="s">
        <v>456</v>
      </c>
      <c r="E179" s="7"/>
    </row>
    <row r="180" spans="1:5" ht="14.25" customHeight="1">
      <c r="A180" t="s">
        <v>402</v>
      </c>
      <c r="B180" t="s">
        <v>446</v>
      </c>
      <c r="C180" t="s">
        <v>452</v>
      </c>
      <c r="E180" s="7"/>
    </row>
    <row r="181" spans="1:5" ht="14.25" customHeight="1">
      <c r="A181" t="s">
        <v>403</v>
      </c>
      <c r="B181" t="s">
        <v>443</v>
      </c>
      <c r="C181" t="s">
        <v>448</v>
      </c>
      <c r="E181" s="7"/>
    </row>
    <row r="182" spans="1:5" ht="14.25" customHeight="1">
      <c r="A182" t="s">
        <v>404</v>
      </c>
      <c r="B182" t="s">
        <v>449</v>
      </c>
      <c r="C182" t="s">
        <v>371</v>
      </c>
      <c r="E182" s="7"/>
    </row>
    <row r="183" spans="1:5" ht="14.25" customHeight="1">
      <c r="A183" t="s">
        <v>405</v>
      </c>
      <c r="B183" t="s">
        <v>444</v>
      </c>
      <c r="C183" t="s">
        <v>275</v>
      </c>
      <c r="E183" s="7"/>
    </row>
    <row r="184" spans="1:5" ht="14.25" customHeight="1">
      <c r="A184" t="s">
        <v>406</v>
      </c>
      <c r="B184" t="s">
        <v>444</v>
      </c>
      <c r="C184" t="s">
        <v>456</v>
      </c>
      <c r="E184" s="7"/>
    </row>
    <row r="185" spans="1:5" ht="14.25" customHeight="1">
      <c r="A185" t="s">
        <v>407</v>
      </c>
      <c r="B185" t="s">
        <v>446</v>
      </c>
      <c r="C185" t="s">
        <v>461</v>
      </c>
      <c r="E185" s="7"/>
    </row>
    <row r="186" spans="1:5" ht="14.25" customHeight="1">
      <c r="A186" t="s">
        <v>408</v>
      </c>
      <c r="B186" t="s">
        <v>453</v>
      </c>
      <c r="C186" t="s">
        <v>373</v>
      </c>
      <c r="E186" s="7"/>
    </row>
    <row r="187" spans="1:5" ht="14.25" customHeight="1">
      <c r="A187" t="s">
        <v>409</v>
      </c>
      <c r="B187" t="s">
        <v>446</v>
      </c>
      <c r="C187" t="s">
        <v>461</v>
      </c>
      <c r="E187" s="7"/>
    </row>
    <row r="188" spans="1:5" ht="14.25" customHeight="1">
      <c r="A188" t="s">
        <v>410</v>
      </c>
      <c r="B188" t="s">
        <v>453</v>
      </c>
      <c r="C188" t="s">
        <v>455</v>
      </c>
      <c r="E188" s="7"/>
    </row>
    <row r="189" spans="1:5" ht="14.25" customHeight="1">
      <c r="A189" t="s">
        <v>411</v>
      </c>
      <c r="B189" t="s">
        <v>453</v>
      </c>
      <c r="C189" t="s">
        <v>455</v>
      </c>
      <c r="E189" s="7"/>
    </row>
    <row r="190" spans="1:5" ht="14.25" customHeight="1">
      <c r="A190" t="s">
        <v>412</v>
      </c>
      <c r="B190" t="s">
        <v>443</v>
      </c>
      <c r="C190" t="s">
        <v>313</v>
      </c>
      <c r="E190" s="7"/>
    </row>
    <row r="191" spans="1:5" ht="14.25" customHeight="1">
      <c r="A191" t="s">
        <v>413</v>
      </c>
      <c r="B191" t="s">
        <v>449</v>
      </c>
      <c r="C191" t="s">
        <v>371</v>
      </c>
      <c r="E191" s="7"/>
    </row>
    <row r="192" spans="1:5" ht="14.25" customHeight="1">
      <c r="A192" t="s">
        <v>414</v>
      </c>
      <c r="B192" t="s">
        <v>449</v>
      </c>
      <c r="C192" t="s">
        <v>458</v>
      </c>
      <c r="E192" s="7"/>
    </row>
    <row r="193" spans="1:5" ht="14.25" customHeight="1">
      <c r="A193" t="s">
        <v>415</v>
      </c>
      <c r="B193" t="s">
        <v>453</v>
      </c>
      <c r="C193" t="s">
        <v>455</v>
      </c>
      <c r="E193" s="7"/>
    </row>
    <row r="194" spans="1:5" ht="14.25" customHeight="1">
      <c r="A194" t="s">
        <v>416</v>
      </c>
      <c r="B194" t="s">
        <v>453</v>
      </c>
      <c r="C194" t="s">
        <v>455</v>
      </c>
      <c r="E194" s="7"/>
    </row>
    <row r="195" spans="1:5" ht="14.25" customHeight="1">
      <c r="A195" t="s">
        <v>417</v>
      </c>
      <c r="B195" t="s">
        <v>446</v>
      </c>
      <c r="C195" t="s">
        <v>452</v>
      </c>
      <c r="E195" s="7"/>
    </row>
    <row r="196" spans="1:5" ht="14.25" customHeight="1">
      <c r="A196" t="s">
        <v>418</v>
      </c>
      <c r="B196" t="s">
        <v>453</v>
      </c>
      <c r="C196" t="s">
        <v>455</v>
      </c>
      <c r="E196" s="7"/>
    </row>
    <row r="197" spans="1:5" ht="14.25" customHeight="1">
      <c r="A197" t="s">
        <v>419</v>
      </c>
      <c r="B197" t="s">
        <v>453</v>
      </c>
      <c r="C197" t="s">
        <v>373</v>
      </c>
      <c r="E197" s="7"/>
    </row>
    <row r="198" spans="1:5" ht="14.25" customHeight="1">
      <c r="A198" t="s">
        <v>420</v>
      </c>
      <c r="B198" t="s">
        <v>443</v>
      </c>
      <c r="C198" t="s">
        <v>313</v>
      </c>
      <c r="E198" s="7"/>
    </row>
    <row r="199" spans="1:5" ht="14.25" customHeight="1">
      <c r="A199" t="s">
        <v>421</v>
      </c>
      <c r="B199" t="s">
        <v>446</v>
      </c>
      <c r="C199" t="s">
        <v>447</v>
      </c>
      <c r="E199" s="7"/>
    </row>
    <row r="200" spans="1:5" ht="14.25" customHeight="1">
      <c r="A200" t="s">
        <v>422</v>
      </c>
      <c r="B200" t="s">
        <v>453</v>
      </c>
      <c r="C200" t="s">
        <v>454</v>
      </c>
      <c r="E200" s="7"/>
    </row>
    <row r="201" spans="1:5" ht="14.25" customHeight="1">
      <c r="A201" t="s">
        <v>423</v>
      </c>
      <c r="B201" t="s">
        <v>444</v>
      </c>
      <c r="C201" t="s">
        <v>456</v>
      </c>
      <c r="E201" s="7"/>
    </row>
    <row r="202" spans="1:5" ht="14.25" customHeight="1">
      <c r="A202" t="s">
        <v>424</v>
      </c>
      <c r="B202" t="s">
        <v>444</v>
      </c>
      <c r="C202" t="s">
        <v>456</v>
      </c>
      <c r="E202" s="7"/>
    </row>
    <row r="203" spans="1:5" ht="14.25" customHeight="1">
      <c r="A203" t="s">
        <v>425</v>
      </c>
      <c r="B203" t="s">
        <v>449</v>
      </c>
      <c r="C203" t="s">
        <v>450</v>
      </c>
      <c r="E203" s="7"/>
    </row>
    <row r="204" spans="1:5" ht="14.25" customHeight="1">
      <c r="A204" t="s">
        <v>426</v>
      </c>
      <c r="B204" t="s">
        <v>444</v>
      </c>
      <c r="C204" t="s">
        <v>282</v>
      </c>
      <c r="E204" s="7"/>
    </row>
    <row r="205" spans="1:5" ht="14.25" customHeight="1">
      <c r="A205" t="s">
        <v>427</v>
      </c>
      <c r="B205" t="s">
        <v>444</v>
      </c>
      <c r="C205" t="s">
        <v>275</v>
      </c>
      <c r="E205" s="7"/>
    </row>
    <row r="206" spans="1:5" ht="14.25" customHeight="1">
      <c r="A206" t="s">
        <v>428</v>
      </c>
      <c r="B206" t="s">
        <v>453</v>
      </c>
      <c r="C206" t="s">
        <v>455</v>
      </c>
      <c r="E206" s="7"/>
    </row>
    <row r="207" spans="1:5" ht="14.25" customHeight="1">
      <c r="A207" t="s">
        <v>429</v>
      </c>
      <c r="B207" t="s">
        <v>443</v>
      </c>
      <c r="C207" t="s">
        <v>448</v>
      </c>
      <c r="E207" s="7"/>
    </row>
    <row r="208" spans="1:5" ht="14.25" customHeight="1">
      <c r="A208" t="s">
        <v>430</v>
      </c>
      <c r="B208" t="s">
        <v>453</v>
      </c>
      <c r="C208" t="s">
        <v>454</v>
      </c>
      <c r="E208" s="7"/>
    </row>
    <row r="209" spans="1:5" ht="14.25" customHeight="1">
      <c r="A209" t="s">
        <v>431</v>
      </c>
      <c r="B209" t="s">
        <v>443</v>
      </c>
      <c r="C209" t="s">
        <v>451</v>
      </c>
      <c r="E209" s="7"/>
    </row>
    <row r="210" spans="1:5" ht="14.25" customHeight="1">
      <c r="A210" t="s">
        <v>432</v>
      </c>
      <c r="B210" t="s">
        <v>443</v>
      </c>
      <c r="C210" t="s">
        <v>451</v>
      </c>
      <c r="E210" s="7"/>
    </row>
    <row r="211" spans="1:5" ht="14.25" customHeight="1">
      <c r="A211" t="s">
        <v>433</v>
      </c>
      <c r="B211" t="s">
        <v>446</v>
      </c>
      <c r="C211" t="s">
        <v>457</v>
      </c>
      <c r="E211" s="7"/>
    </row>
    <row r="212" spans="1:5" ht="14.25" customHeight="1">
      <c r="A212" t="s">
        <v>434</v>
      </c>
      <c r="B212" t="s">
        <v>444</v>
      </c>
      <c r="C212" t="s">
        <v>280</v>
      </c>
      <c r="E212" s="7"/>
    </row>
    <row r="213" spans="1:5" ht="14.25" customHeight="1">
      <c r="A213" t="s">
        <v>435</v>
      </c>
      <c r="B213" t="s">
        <v>446</v>
      </c>
      <c r="C213" t="s">
        <v>459</v>
      </c>
      <c r="E213" s="7"/>
    </row>
    <row r="214" spans="1:5" ht="14.25" customHeight="1">
      <c r="A214" t="s">
        <v>436</v>
      </c>
      <c r="B214" t="s">
        <v>446</v>
      </c>
      <c r="C214" t="s">
        <v>452</v>
      </c>
    </row>
    <row r="215" spans="1:5" ht="14.25" customHeight="1">
      <c r="A215" t="s">
        <v>437</v>
      </c>
      <c r="B215" t="s">
        <v>443</v>
      </c>
      <c r="C215" t="s">
        <v>313</v>
      </c>
    </row>
    <row r="216" spans="1:5" ht="14.25" customHeight="1">
      <c r="A216" t="s">
        <v>438</v>
      </c>
      <c r="B216" t="s">
        <v>446</v>
      </c>
      <c r="C216" t="s">
        <v>452</v>
      </c>
    </row>
    <row r="217" spans="1:5" ht="14.25" customHeight="1">
      <c r="A217" t="s">
        <v>439</v>
      </c>
      <c r="B217" t="s">
        <v>443</v>
      </c>
      <c r="C217" t="s">
        <v>448</v>
      </c>
    </row>
    <row r="218" spans="1:5" ht="14.25" customHeight="1">
      <c r="A218" t="s">
        <v>440</v>
      </c>
      <c r="B218" t="s">
        <v>443</v>
      </c>
      <c r="C218" t="s">
        <v>448</v>
      </c>
    </row>
  </sheetData>
  <autoFilter ref="A1:C218"/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zoomScale="70" zoomScaleNormal="70" workbookViewId="0">
      <selection activeCell="J23" sqref="J23:J24"/>
    </sheetView>
  </sheetViews>
  <sheetFormatPr defaultColWidth="14.42578125" defaultRowHeight="15" customHeight="1"/>
  <cols>
    <col min="1" max="1" width="8.7109375" customWidth="1"/>
    <col min="2" max="2" width="15.28515625" customWidth="1"/>
    <col min="3" max="3" width="15.140625" customWidth="1"/>
    <col min="4" max="4" width="12.5703125" customWidth="1"/>
    <col min="5" max="5" width="8.7109375" customWidth="1"/>
    <col min="6" max="6" width="40.7109375" customWidth="1"/>
    <col min="7" max="7" width="28.28515625" customWidth="1"/>
    <col min="8" max="8" width="7.85546875" customWidth="1"/>
    <col min="9" max="9" width="20.140625" customWidth="1"/>
    <col min="10" max="10" width="15.28515625" customWidth="1"/>
    <col min="11" max="11" width="8.7109375" customWidth="1"/>
  </cols>
  <sheetData>
    <row r="1" spans="2:10" ht="14.25" customHeight="1"/>
    <row r="2" spans="2:10" ht="14.25" customHeight="1">
      <c r="B2" s="366"/>
      <c r="C2" s="367"/>
      <c r="D2" s="366" t="s">
        <v>462</v>
      </c>
      <c r="E2" s="381"/>
      <c r="F2" s="381"/>
      <c r="G2" s="381"/>
      <c r="H2" s="367"/>
      <c r="I2" s="413"/>
      <c r="J2" s="367"/>
    </row>
    <row r="3" spans="2:10" ht="14.25" customHeight="1">
      <c r="B3" s="368"/>
      <c r="C3" s="369"/>
      <c r="D3" s="370"/>
      <c r="E3" s="396"/>
      <c r="F3" s="396"/>
      <c r="G3" s="396"/>
      <c r="H3" s="371"/>
      <c r="I3" s="368"/>
      <c r="J3" s="369"/>
    </row>
    <row r="4" spans="2:10" ht="45.75" customHeight="1">
      <c r="B4" s="368"/>
      <c r="C4" s="369"/>
      <c r="D4" s="49" t="str">
        <f>'PLANILHA ORÇAMENTÁRIA'!D5</f>
        <v>AÇÃO:</v>
      </c>
      <c r="E4" s="414" t="str">
        <f>'PLANILHA ORÇAMENTÁRIA'!E5</f>
        <v>EXECUÇÃO DE MANUTENÇÃO CONTÍNUA PREVENTIVA E CORRETIVA DAS VIAS VICINAIS E RURAIS</v>
      </c>
      <c r="F4" s="376"/>
      <c r="G4" s="50" t="s">
        <v>503</v>
      </c>
      <c r="H4" s="51">
        <f>+'PLANILHA ORÇAMENTÁRIA'!G5</f>
        <v>0.47699999999999998</v>
      </c>
      <c r="I4" s="368"/>
      <c r="J4" s="369"/>
    </row>
    <row r="5" spans="2:10" ht="14.25" customHeight="1">
      <c r="B5" s="368"/>
      <c r="C5" s="369"/>
      <c r="D5" s="52" t="str">
        <f>'PLANILHA ORÇAMENTÁRIA'!D6</f>
        <v>MUNICÍPIO:</v>
      </c>
      <c r="E5" s="415" t="str">
        <f>'PLANILHA ORÇAMENTÁRIA'!E6</f>
        <v>SANTO ANTÔNIO DOS LOPES - MA</v>
      </c>
      <c r="F5" s="365"/>
      <c r="G5" s="53" t="s">
        <v>467</v>
      </c>
      <c r="H5" s="54">
        <f>+'PLANILHA ORÇAMENTÁRIA'!G6</f>
        <v>0.84609999999999996</v>
      </c>
      <c r="I5" s="368"/>
      <c r="J5" s="369"/>
    </row>
    <row r="6" spans="2:10" ht="14.25" customHeight="1">
      <c r="B6" s="368"/>
      <c r="C6" s="369"/>
      <c r="D6" s="52" t="str">
        <f>'PLANILHA ORÇAMENTÁRIA'!D7</f>
        <v>LOCALIDADE:</v>
      </c>
      <c r="E6" s="415" t="str">
        <f>'PLANILHA ORÇAMENTÁRIA'!E7</f>
        <v>DIVERSOS POVOADOS DO MUNICÍPIO DE SANTO ANTÔNIO DOS LOPES - MA</v>
      </c>
      <c r="F6" s="365"/>
      <c r="G6" s="53" t="s">
        <v>469</v>
      </c>
      <c r="H6" s="55">
        <f>+'PLANILHA ORÇAMENTÁRIA'!G7</f>
        <v>45078</v>
      </c>
      <c r="I6" s="368"/>
      <c r="J6" s="369"/>
    </row>
    <row r="7" spans="2:10" ht="14.25" customHeight="1">
      <c r="B7" s="368"/>
      <c r="C7" s="369"/>
      <c r="D7" s="52"/>
      <c r="E7" s="415"/>
      <c r="F7" s="365"/>
      <c r="G7" s="53" t="s">
        <v>470</v>
      </c>
      <c r="H7" s="54">
        <f>+'PLANILHA ORÇAMENTÁRIA'!G8</f>
        <v>0.24229999999999999</v>
      </c>
      <c r="I7" s="368"/>
      <c r="J7" s="369"/>
    </row>
    <row r="8" spans="2:10" ht="27" customHeight="1">
      <c r="B8" s="370"/>
      <c r="C8" s="371"/>
      <c r="D8" s="373"/>
      <c r="E8" s="385"/>
      <c r="F8" s="385"/>
      <c r="G8" s="385"/>
      <c r="H8" s="416"/>
      <c r="I8" s="370"/>
      <c r="J8" s="371"/>
    </row>
    <row r="9" spans="2:10" ht="14.25" customHeight="1">
      <c r="B9" s="410" t="s">
        <v>504</v>
      </c>
      <c r="C9" s="381"/>
      <c r="D9" s="381"/>
      <c r="E9" s="381"/>
      <c r="F9" s="381"/>
      <c r="G9" s="381"/>
      <c r="H9" s="381"/>
      <c r="I9" s="381"/>
      <c r="J9" s="367"/>
    </row>
    <row r="10" spans="2:10" ht="14.25" customHeight="1">
      <c r="B10" s="370"/>
      <c r="C10" s="396"/>
      <c r="D10" s="396"/>
      <c r="E10" s="396"/>
      <c r="F10" s="396"/>
      <c r="G10" s="396"/>
      <c r="H10" s="396"/>
      <c r="I10" s="396"/>
      <c r="J10" s="371"/>
    </row>
    <row r="11" spans="2:10" ht="14.25" customHeight="1">
      <c r="B11" s="417" t="s">
        <v>472</v>
      </c>
      <c r="C11" s="418"/>
      <c r="D11" s="419" t="s">
        <v>505</v>
      </c>
      <c r="E11" s="420"/>
      <c r="F11" s="420"/>
      <c r="G11" s="420"/>
      <c r="H11" s="421"/>
      <c r="I11" s="391" t="s">
        <v>506</v>
      </c>
      <c r="J11" s="411" t="s">
        <v>507</v>
      </c>
    </row>
    <row r="12" spans="2:10" ht="14.25" customHeight="1">
      <c r="B12" s="402"/>
      <c r="C12" s="403"/>
      <c r="D12" s="405"/>
      <c r="E12" s="406"/>
      <c r="F12" s="406"/>
      <c r="G12" s="406"/>
      <c r="H12" s="403"/>
      <c r="I12" s="392"/>
      <c r="J12" s="412"/>
    </row>
    <row r="13" spans="2:10" ht="14.25" customHeight="1">
      <c r="B13" s="393" t="s">
        <v>479</v>
      </c>
      <c r="C13" s="407"/>
      <c r="D13" s="404" t="str">
        <f>'PLANILHA ORÇAMENTÁRIA'!D11:H11</f>
        <v>ADMINISTRAÇÃO LOCAL E CANTEIRO DE OBRA</v>
      </c>
      <c r="E13" s="394"/>
      <c r="F13" s="394"/>
      <c r="G13" s="394"/>
      <c r="H13" s="395"/>
      <c r="I13" s="389">
        <f>'PLANILHA ORÇAMENTÁRIA'!I11</f>
        <v>365414.68</v>
      </c>
      <c r="J13" s="387">
        <f>I13/$I$25</f>
        <v>2.8331694623083759E-2</v>
      </c>
    </row>
    <row r="14" spans="2:10" ht="14.25" customHeight="1">
      <c r="B14" s="408"/>
      <c r="C14" s="409"/>
      <c r="D14" s="405"/>
      <c r="E14" s="406"/>
      <c r="F14" s="406"/>
      <c r="G14" s="406"/>
      <c r="H14" s="403"/>
      <c r="I14" s="390"/>
      <c r="J14" s="388"/>
    </row>
    <row r="15" spans="2:10" ht="14.25" customHeight="1">
      <c r="B15" s="393" t="s">
        <v>488</v>
      </c>
      <c r="C15" s="407"/>
      <c r="D15" s="404" t="str">
        <f>+'PLANILHA ORÇAMENTÁRIA'!D20:H20</f>
        <v>DRENAGEM</v>
      </c>
      <c r="E15" s="394"/>
      <c r="F15" s="394"/>
      <c r="G15" s="394"/>
      <c r="H15" s="395"/>
      <c r="I15" s="389">
        <f>+'PLANILHA ORÇAMENTÁRIA'!I20</f>
        <v>1588997.85</v>
      </c>
      <c r="J15" s="387">
        <f>I15/$I$25</f>
        <v>0.12319976264483042</v>
      </c>
    </row>
    <row r="16" spans="2:10" ht="14.25" customHeight="1">
      <c r="B16" s="408"/>
      <c r="C16" s="409"/>
      <c r="D16" s="405"/>
      <c r="E16" s="406"/>
      <c r="F16" s="406"/>
      <c r="G16" s="406"/>
      <c r="H16" s="403"/>
      <c r="I16" s="390"/>
      <c r="J16" s="388"/>
    </row>
    <row r="17" spans="2:10" ht="14.25" customHeight="1">
      <c r="B17" s="393" t="s">
        <v>493</v>
      </c>
      <c r="C17" s="407"/>
      <c r="D17" s="404" t="str">
        <f>+'PLANILHA ORÇAMENTÁRIA'!D57:H57</f>
        <v>TERRAPLENAGEM</v>
      </c>
      <c r="E17" s="394"/>
      <c r="F17" s="394"/>
      <c r="G17" s="394"/>
      <c r="H17" s="395"/>
      <c r="I17" s="389">
        <f>+'PLANILHA ORÇAMENTÁRIA'!I57</f>
        <v>4372806.21</v>
      </c>
      <c r="J17" s="387">
        <f t="shared" ref="J17" si="0">I17/$I$25</f>
        <v>0.3390367628023162</v>
      </c>
    </row>
    <row r="18" spans="2:10" ht="14.25" customHeight="1">
      <c r="B18" s="408"/>
      <c r="C18" s="409"/>
      <c r="D18" s="405"/>
      <c r="E18" s="406"/>
      <c r="F18" s="406"/>
      <c r="G18" s="406"/>
      <c r="H18" s="403"/>
      <c r="I18" s="390"/>
      <c r="J18" s="388"/>
    </row>
    <row r="19" spans="2:10" ht="14.25" customHeight="1">
      <c r="B19" s="393" t="s">
        <v>494</v>
      </c>
      <c r="C19" s="407"/>
      <c r="D19" s="404" t="str">
        <f>+'PLANILHA ORÇAMENTÁRIA'!D72:H72</f>
        <v>MANUTENÇÃO DAS PONTES</v>
      </c>
      <c r="E19" s="394"/>
      <c r="F19" s="394"/>
      <c r="G19" s="394"/>
      <c r="H19" s="395"/>
      <c r="I19" s="389">
        <f>+'PLANILHA ORÇAMENTÁRIA'!I72</f>
        <v>1132125.9300000002</v>
      </c>
      <c r="J19" s="387">
        <f t="shared" ref="J19" si="1">I19/$I$25</f>
        <v>8.7777114273664941E-2</v>
      </c>
    </row>
    <row r="20" spans="2:10" ht="14.25" customHeight="1">
      <c r="B20" s="408"/>
      <c r="C20" s="409"/>
      <c r="D20" s="405"/>
      <c r="E20" s="406"/>
      <c r="F20" s="406"/>
      <c r="G20" s="406"/>
      <c r="H20" s="403"/>
      <c r="I20" s="390"/>
      <c r="J20" s="388"/>
    </row>
    <row r="21" spans="2:10" ht="14.25" customHeight="1">
      <c r="B21" s="401" t="s">
        <v>969</v>
      </c>
      <c r="C21" s="395"/>
      <c r="D21" s="404" t="str">
        <f>'PLANILHA ORÇAMENTÁRIA'!D83:E83</f>
        <v>MATERIAIS</v>
      </c>
      <c r="E21" s="394"/>
      <c r="F21" s="394"/>
      <c r="G21" s="394"/>
      <c r="H21" s="395"/>
      <c r="I21" s="389">
        <f>'PLANILHA ORÇAMENTÁRIA'!I83</f>
        <v>5208300</v>
      </c>
      <c r="J21" s="387">
        <f t="shared" ref="J21:J23" si="2">I21/$I$25</f>
        <v>0.40381509879517469</v>
      </c>
    </row>
    <row r="22" spans="2:10" ht="14.25" customHeight="1">
      <c r="B22" s="402"/>
      <c r="C22" s="403"/>
      <c r="D22" s="405"/>
      <c r="E22" s="406"/>
      <c r="F22" s="406"/>
      <c r="G22" s="406"/>
      <c r="H22" s="403"/>
      <c r="I22" s="390"/>
      <c r="J22" s="388"/>
    </row>
    <row r="23" spans="2:10" ht="14.25" customHeight="1">
      <c r="B23" s="401" t="s">
        <v>1166</v>
      </c>
      <c r="C23" s="395"/>
      <c r="D23" s="404" t="str">
        <f>'PLANILHA ORÇAMENTÁRIA'!D86:E86</f>
        <v>SERVIÇOS COMPLEMENTARES</v>
      </c>
      <c r="E23" s="394"/>
      <c r="F23" s="394"/>
      <c r="G23" s="394"/>
      <c r="H23" s="395"/>
      <c r="I23" s="389">
        <f>'PLANILHA ORÇAMENTÁRIA'!I86</f>
        <v>230090</v>
      </c>
      <c r="J23" s="387">
        <f t="shared" si="2"/>
        <v>1.7839566860930006E-2</v>
      </c>
    </row>
    <row r="24" spans="2:10" ht="14.25" customHeight="1">
      <c r="B24" s="402"/>
      <c r="C24" s="403"/>
      <c r="D24" s="405"/>
      <c r="E24" s="406"/>
      <c r="F24" s="406"/>
      <c r="G24" s="406"/>
      <c r="H24" s="403"/>
      <c r="I24" s="390"/>
      <c r="J24" s="388"/>
    </row>
    <row r="25" spans="2:10" ht="14.25" customHeight="1">
      <c r="B25" s="393" t="s">
        <v>944</v>
      </c>
      <c r="C25" s="394"/>
      <c r="D25" s="394"/>
      <c r="E25" s="394"/>
      <c r="F25" s="394"/>
      <c r="G25" s="394"/>
      <c r="H25" s="395"/>
      <c r="I25" s="398">
        <f>SUM(I13:I24)</f>
        <v>12897734.67</v>
      </c>
      <c r="J25" s="399"/>
    </row>
    <row r="26" spans="2:10" ht="14.25" customHeight="1" thickBot="1">
      <c r="B26" s="370"/>
      <c r="C26" s="396"/>
      <c r="D26" s="396"/>
      <c r="E26" s="396"/>
      <c r="F26" s="396"/>
      <c r="G26" s="396"/>
      <c r="H26" s="397"/>
      <c r="I26" s="400"/>
      <c r="J26" s="371"/>
    </row>
    <row r="27" spans="2:10" ht="14.25" customHeight="1"/>
    <row r="28" spans="2:10" ht="14.25" customHeight="1"/>
    <row r="29" spans="2:10" ht="14.25" customHeight="1"/>
    <row r="30" spans="2:10" ht="14.25" customHeight="1"/>
    <row r="31" spans="2:10" ht="14.25" customHeight="1"/>
    <row r="32" spans="2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</sheetData>
  <mergeCells count="39">
    <mergeCell ref="B13:C14"/>
    <mergeCell ref="D13:H14"/>
    <mergeCell ref="I13:I14"/>
    <mergeCell ref="J13:J14"/>
    <mergeCell ref="B2:C8"/>
    <mergeCell ref="B11:C12"/>
    <mergeCell ref="D11:H12"/>
    <mergeCell ref="B19:C20"/>
    <mergeCell ref="D2:H3"/>
    <mergeCell ref="D17:H18"/>
    <mergeCell ref="B17:C18"/>
    <mergeCell ref="B9:J10"/>
    <mergeCell ref="B15:C16"/>
    <mergeCell ref="I17:I18"/>
    <mergeCell ref="J17:J18"/>
    <mergeCell ref="J11:J12"/>
    <mergeCell ref="I2:J8"/>
    <mergeCell ref="E4:F4"/>
    <mergeCell ref="E5:F5"/>
    <mergeCell ref="E6:F6"/>
    <mergeCell ref="E7:F7"/>
    <mergeCell ref="D8:H8"/>
    <mergeCell ref="D15:H16"/>
    <mergeCell ref="J15:J16"/>
    <mergeCell ref="I15:I16"/>
    <mergeCell ref="I11:I12"/>
    <mergeCell ref="B25:H26"/>
    <mergeCell ref="I25:J26"/>
    <mergeCell ref="B21:C22"/>
    <mergeCell ref="D19:H20"/>
    <mergeCell ref="J21:J22"/>
    <mergeCell ref="I19:I20"/>
    <mergeCell ref="J19:J20"/>
    <mergeCell ref="D21:H22"/>
    <mergeCell ref="I21:I22"/>
    <mergeCell ref="B23:C24"/>
    <mergeCell ref="D23:H24"/>
    <mergeCell ref="I23:I24"/>
    <mergeCell ref="J23:J24"/>
  </mergeCells>
  <pageMargins left="0.98425196850393704" right="0.59055118110236227" top="0.78740157480314965" bottom="0.78740157480314965" header="0" footer="0"/>
  <pageSetup paperSize="9" scale="4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"/>
  <sheetViews>
    <sheetView showGridLines="0" tabSelected="1" topLeftCell="A82" zoomScale="70" zoomScaleNormal="70" zoomScaleSheetLayoutView="70" workbookViewId="0">
      <selection activeCell="G89" sqref="G89"/>
    </sheetView>
  </sheetViews>
  <sheetFormatPr defaultColWidth="14.42578125" defaultRowHeight="15" customHeight="1"/>
  <cols>
    <col min="1" max="1" width="9.42578125" customWidth="1"/>
    <col min="2" max="2" width="21.42578125" customWidth="1"/>
    <col min="3" max="3" width="20.42578125" customWidth="1"/>
    <col min="4" max="4" width="15.85546875" customWidth="1"/>
    <col min="5" max="5" width="79.42578125" customWidth="1"/>
    <col min="6" max="6" width="31.140625" customWidth="1"/>
    <col min="7" max="7" width="16" customWidth="1"/>
    <col min="8" max="8" width="17" customWidth="1"/>
    <col min="9" max="9" width="24.85546875" customWidth="1"/>
    <col min="10" max="10" width="12.42578125" customWidth="1"/>
    <col min="11" max="11" width="16.85546875" customWidth="1"/>
    <col min="12" max="12" width="9.42578125" customWidth="1"/>
    <col min="13" max="14" width="12.28515625" customWidth="1"/>
    <col min="15" max="29" width="9.42578125" customWidth="1"/>
  </cols>
  <sheetData>
    <row r="1" spans="1:29" ht="15.75">
      <c r="A1" s="11"/>
      <c r="B1" s="12"/>
      <c r="C1" s="12"/>
      <c r="D1" s="13"/>
      <c r="E1" s="13"/>
      <c r="F1" s="14"/>
      <c r="G1" s="14"/>
      <c r="H1" s="15"/>
      <c r="I1" s="15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15.75" customHeight="1">
      <c r="A2" s="11"/>
      <c r="B2" s="366"/>
      <c r="C2" s="367"/>
      <c r="D2" s="380" t="s">
        <v>462</v>
      </c>
      <c r="E2" s="381"/>
      <c r="F2" s="381"/>
      <c r="G2" s="381"/>
      <c r="H2" s="372"/>
      <c r="I2" s="367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5.75" customHeight="1">
      <c r="A3" s="11"/>
      <c r="B3" s="368"/>
      <c r="C3" s="369"/>
      <c r="D3" s="382"/>
      <c r="E3" s="382"/>
      <c r="F3" s="382"/>
      <c r="G3" s="382"/>
      <c r="H3" s="368"/>
      <c r="I3" s="36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5.75" customHeight="1">
      <c r="A4" s="11"/>
      <c r="B4" s="368"/>
      <c r="C4" s="369"/>
      <c r="D4" s="382"/>
      <c r="E4" s="382"/>
      <c r="F4" s="382"/>
      <c r="G4" s="382"/>
      <c r="H4" s="368"/>
      <c r="I4" s="36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41.25" customHeight="1">
      <c r="A5" s="11"/>
      <c r="B5" s="368"/>
      <c r="C5" s="369"/>
      <c r="D5" s="16" t="s">
        <v>463</v>
      </c>
      <c r="E5" s="208" t="s">
        <v>678</v>
      </c>
      <c r="F5" s="18" t="s">
        <v>464</v>
      </c>
      <c r="G5" s="19">
        <v>0.47699999999999998</v>
      </c>
      <c r="H5" s="368"/>
      <c r="I5" s="36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9.5" customHeight="1">
      <c r="A6" s="11"/>
      <c r="B6" s="368"/>
      <c r="C6" s="369"/>
      <c r="D6" s="16" t="s">
        <v>465</v>
      </c>
      <c r="E6" s="17" t="s">
        <v>466</v>
      </c>
      <c r="F6" s="18" t="s">
        <v>467</v>
      </c>
      <c r="G6" s="19">
        <v>0.84609999999999996</v>
      </c>
      <c r="H6" s="368"/>
      <c r="I6" s="36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9.5" customHeight="1">
      <c r="A7" s="11"/>
      <c r="B7" s="368"/>
      <c r="C7" s="369"/>
      <c r="D7" s="16" t="s">
        <v>468</v>
      </c>
      <c r="E7" s="17" t="s">
        <v>679</v>
      </c>
      <c r="F7" s="18" t="s">
        <v>469</v>
      </c>
      <c r="G7" s="20">
        <v>45078</v>
      </c>
      <c r="H7" s="368"/>
      <c r="I7" s="36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9.5" customHeight="1">
      <c r="A8" s="11"/>
      <c r="B8" s="370"/>
      <c r="C8" s="371"/>
      <c r="D8" s="373"/>
      <c r="E8" s="374"/>
      <c r="F8" s="21" t="s">
        <v>470</v>
      </c>
      <c r="G8" s="22">
        <v>0.24229999999999999</v>
      </c>
      <c r="H8" s="368"/>
      <c r="I8" s="36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45" customHeight="1">
      <c r="A9" s="11"/>
      <c r="B9" s="377" t="s">
        <v>471</v>
      </c>
      <c r="C9" s="378"/>
      <c r="D9" s="378"/>
      <c r="E9" s="378"/>
      <c r="F9" s="378"/>
      <c r="G9" s="378"/>
      <c r="H9" s="378"/>
      <c r="I9" s="37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32.25" customHeight="1">
      <c r="A10" s="11"/>
      <c r="B10" s="23" t="s">
        <v>472</v>
      </c>
      <c r="C10" s="24" t="s">
        <v>473</v>
      </c>
      <c r="D10" s="375" t="s">
        <v>474</v>
      </c>
      <c r="E10" s="376"/>
      <c r="F10" s="25" t="s">
        <v>475</v>
      </c>
      <c r="G10" s="26" t="s">
        <v>476</v>
      </c>
      <c r="H10" s="27" t="s">
        <v>477</v>
      </c>
      <c r="I10" s="28" t="s">
        <v>478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24.75" customHeight="1">
      <c r="A11" s="11"/>
      <c r="B11" s="197" t="s">
        <v>479</v>
      </c>
      <c r="C11" s="198"/>
      <c r="D11" s="363" t="s">
        <v>1121</v>
      </c>
      <c r="E11" s="364"/>
      <c r="F11" s="364"/>
      <c r="G11" s="364"/>
      <c r="H11" s="365"/>
      <c r="I11" s="315">
        <f>SUM(I12:I19)</f>
        <v>365414.68</v>
      </c>
      <c r="J11" s="11"/>
      <c r="K11" s="26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32.25" customHeight="1">
      <c r="A12" s="11"/>
      <c r="B12" s="33" t="s">
        <v>480</v>
      </c>
      <c r="C12" s="34">
        <v>90777</v>
      </c>
      <c r="D12" s="361" t="s">
        <v>1110</v>
      </c>
      <c r="E12" s="362"/>
      <c r="F12" s="203" t="s">
        <v>528</v>
      </c>
      <c r="G12" s="36">
        <f>'MEMORIA DE CALCULO'!Q13</f>
        <v>576</v>
      </c>
      <c r="H12" s="37">
        <f>COMPOSIÇÕES!L19</f>
        <v>121.08</v>
      </c>
      <c r="I12" s="316">
        <f t="shared" ref="I12:I19" si="0">ROUND(G12*H12,2)</f>
        <v>69742.080000000002</v>
      </c>
      <c r="J12" s="11"/>
      <c r="K12" s="11"/>
      <c r="L12" s="11"/>
      <c r="M12" s="294"/>
      <c r="N12" s="29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32.25" customHeight="1">
      <c r="A13" s="11"/>
      <c r="B13" s="33" t="s">
        <v>482</v>
      </c>
      <c r="C13" s="34">
        <v>90776</v>
      </c>
      <c r="D13" s="361" t="s">
        <v>1111</v>
      </c>
      <c r="E13" s="362"/>
      <c r="F13" s="290" t="s">
        <v>528</v>
      </c>
      <c r="G13" s="36">
        <f>'MEMORIA DE CALCULO'!Q14</f>
        <v>2112</v>
      </c>
      <c r="H13" s="37">
        <f>COMPOSIÇÕES!L28</f>
        <v>34.68</v>
      </c>
      <c r="I13" s="316">
        <f t="shared" si="0"/>
        <v>73244.160000000003</v>
      </c>
      <c r="J13" s="11"/>
      <c r="K13" s="11"/>
      <c r="L13" s="11"/>
      <c r="M13" s="294"/>
      <c r="N13" s="294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32.25" customHeight="1">
      <c r="A14" s="11"/>
      <c r="B14" s="33" t="s">
        <v>483</v>
      </c>
      <c r="C14" s="34">
        <v>88255</v>
      </c>
      <c r="D14" s="361" t="s">
        <v>1112</v>
      </c>
      <c r="E14" s="362"/>
      <c r="F14" s="290" t="s">
        <v>528</v>
      </c>
      <c r="G14" s="36">
        <f>'MEMORIA DE CALCULO'!Q15</f>
        <v>2112</v>
      </c>
      <c r="H14" s="37">
        <f>COMPOSIÇÕES!L36</f>
        <v>28.860000000000003</v>
      </c>
      <c r="I14" s="316">
        <f t="shared" si="0"/>
        <v>60952.32</v>
      </c>
      <c r="J14" s="11"/>
      <c r="K14" s="11"/>
      <c r="L14" s="11"/>
      <c r="M14" s="294"/>
      <c r="N14" s="29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32.25" customHeight="1">
      <c r="A15" s="11"/>
      <c r="B15" s="33" t="s">
        <v>485</v>
      </c>
      <c r="C15" s="34">
        <v>88326</v>
      </c>
      <c r="D15" s="361" t="s">
        <v>1132</v>
      </c>
      <c r="E15" s="362"/>
      <c r="F15" s="290" t="s">
        <v>528</v>
      </c>
      <c r="G15" s="36">
        <f>'MEMORIA DE CALCULO'!Q16</f>
        <v>2112</v>
      </c>
      <c r="H15" s="37">
        <f>COMPOSIÇÕES!L46</f>
        <v>26.770000000000003</v>
      </c>
      <c r="I15" s="316">
        <f t="shared" si="0"/>
        <v>56538.239999999998</v>
      </c>
      <c r="J15" s="11"/>
      <c r="K15" s="11"/>
      <c r="L15" s="11"/>
      <c r="M15" s="294"/>
      <c r="N15" s="294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32.25" customHeight="1">
      <c r="A16" s="11"/>
      <c r="B16" s="33" t="s">
        <v>660</v>
      </c>
      <c r="C16" s="34" t="s">
        <v>1113</v>
      </c>
      <c r="D16" s="361" t="s">
        <v>1114</v>
      </c>
      <c r="E16" s="362"/>
      <c r="F16" s="203" t="s">
        <v>487</v>
      </c>
      <c r="G16" s="36">
        <f>'MEMORIA DE CALCULO'!Q17</f>
        <v>220.00000000000003</v>
      </c>
      <c r="H16" s="37">
        <f>COMPOSIÇÕES!L57</f>
        <v>185.66000000000003</v>
      </c>
      <c r="I16" s="316">
        <f t="shared" si="0"/>
        <v>40845.199999999997</v>
      </c>
      <c r="J16" s="11"/>
      <c r="K16" s="11"/>
      <c r="L16" s="11"/>
      <c r="M16" s="294"/>
      <c r="N16" s="294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32.25" customHeight="1">
      <c r="A17" s="11"/>
      <c r="B17" s="33" t="s">
        <v>683</v>
      </c>
      <c r="C17" s="34" t="s">
        <v>1115</v>
      </c>
      <c r="D17" s="361" t="s">
        <v>1116</v>
      </c>
      <c r="E17" s="362"/>
      <c r="F17" s="203" t="s">
        <v>487</v>
      </c>
      <c r="G17" s="36">
        <f>'MEMORIA DE CALCULO'!Q18</f>
        <v>550</v>
      </c>
      <c r="H17" s="37">
        <f>COMPOSIÇÕES!L67</f>
        <v>26.230000000000004</v>
      </c>
      <c r="I17" s="316">
        <f>ROUND(G17*H17,2)</f>
        <v>14426.5</v>
      </c>
      <c r="J17" s="11"/>
      <c r="K17" s="11"/>
      <c r="L17" s="11"/>
      <c r="M17" s="294"/>
      <c r="N17" s="294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32.25" customHeight="1">
      <c r="A18" s="11"/>
      <c r="B18" s="33" t="s">
        <v>692</v>
      </c>
      <c r="C18" s="34" t="s">
        <v>1117</v>
      </c>
      <c r="D18" s="361" t="s">
        <v>1118</v>
      </c>
      <c r="E18" s="362"/>
      <c r="F18" s="203" t="s">
        <v>979</v>
      </c>
      <c r="G18" s="36">
        <f>'MEMORIA DE CALCULO'!Q19</f>
        <v>12</v>
      </c>
      <c r="H18" s="37">
        <f>COMPOSIÇÕES!L70</f>
        <v>1987.68</v>
      </c>
      <c r="I18" s="316">
        <f t="shared" si="0"/>
        <v>23852.16</v>
      </c>
      <c r="J18" s="11"/>
      <c r="K18" s="11"/>
      <c r="L18" s="11"/>
      <c r="M18" s="294"/>
      <c r="N18" s="294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32.25" customHeight="1">
      <c r="A19" s="11"/>
      <c r="B19" s="33" t="s">
        <v>693</v>
      </c>
      <c r="C19" s="34" t="s">
        <v>1119</v>
      </c>
      <c r="D19" s="361" t="s">
        <v>1165</v>
      </c>
      <c r="E19" s="362"/>
      <c r="F19" s="203" t="s">
        <v>487</v>
      </c>
      <c r="G19" s="36">
        <f>'MEMORIA DE CALCULO'!Q20</f>
        <v>57.599999999999994</v>
      </c>
      <c r="H19" s="37">
        <f>COMPOSIÇÕES!L81</f>
        <v>448.16</v>
      </c>
      <c r="I19" s="316">
        <f t="shared" si="0"/>
        <v>25814.02</v>
      </c>
      <c r="J19" s="11"/>
      <c r="K19" s="11"/>
      <c r="L19" s="11"/>
      <c r="M19" s="294"/>
      <c r="N19" s="294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24.95" customHeight="1">
      <c r="A20" s="11"/>
      <c r="B20" s="197" t="s">
        <v>488</v>
      </c>
      <c r="C20" s="198"/>
      <c r="D20" s="363" t="s">
        <v>680</v>
      </c>
      <c r="E20" s="364"/>
      <c r="F20" s="364"/>
      <c r="G20" s="364"/>
      <c r="H20" s="365"/>
      <c r="I20" s="315">
        <f>SUM(I21:I56)</f>
        <v>1588997.85</v>
      </c>
      <c r="J20" s="11"/>
      <c r="K20" s="294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41.25" customHeight="1">
      <c r="A21" s="11"/>
      <c r="B21" s="33" t="s">
        <v>489</v>
      </c>
      <c r="C21" s="34" t="s">
        <v>1012</v>
      </c>
      <c r="D21" s="361" t="s">
        <v>1013</v>
      </c>
      <c r="E21" s="362"/>
      <c r="F21" s="203" t="s">
        <v>486</v>
      </c>
      <c r="G21" s="36">
        <f>+'MEMORIA DE CALCULO'!Q22</f>
        <v>96</v>
      </c>
      <c r="H21" s="37">
        <f>+COMPOSIÇÕES!L88</f>
        <v>228.76000000000002</v>
      </c>
      <c r="I21" s="316">
        <f>ROUND(G21*H21,2)</f>
        <v>21960.959999999999</v>
      </c>
      <c r="J21" s="11"/>
      <c r="K21" s="26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45" customHeight="1">
      <c r="A22" s="11"/>
      <c r="B22" s="33" t="s">
        <v>491</v>
      </c>
      <c r="C22" s="34" t="s">
        <v>1018</v>
      </c>
      <c r="D22" s="361" t="s">
        <v>1017</v>
      </c>
      <c r="E22" s="362"/>
      <c r="F22" s="203" t="s">
        <v>486</v>
      </c>
      <c r="G22" s="36">
        <f>'MEMORIA DE CALCULO'!Q23</f>
        <v>96</v>
      </c>
      <c r="H22" s="37">
        <f>COMPOSIÇÕES!L95</f>
        <v>261.77</v>
      </c>
      <c r="I22" s="316">
        <f t="shared" ref="I22:I71" si="1">ROUND(G22*H22,2)</f>
        <v>25129.919999999998</v>
      </c>
      <c r="J22" s="11"/>
      <c r="K22" s="26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42" customHeight="1">
      <c r="A23" s="11"/>
      <c r="B23" s="33" t="s">
        <v>492</v>
      </c>
      <c r="C23" s="34" t="s">
        <v>1020</v>
      </c>
      <c r="D23" s="361" t="s">
        <v>1021</v>
      </c>
      <c r="E23" s="362"/>
      <c r="F23" s="203" t="s">
        <v>486</v>
      </c>
      <c r="G23" s="36">
        <f>'MEMORIA DE CALCULO'!Q24</f>
        <v>96</v>
      </c>
      <c r="H23" s="37">
        <f>COMPOSIÇÕES!L102</f>
        <v>433.77</v>
      </c>
      <c r="I23" s="316">
        <f t="shared" si="1"/>
        <v>41641.919999999998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43.5" customHeight="1">
      <c r="A24" s="11"/>
      <c r="B24" s="33" t="s">
        <v>651</v>
      </c>
      <c r="C24" s="34" t="s">
        <v>1022</v>
      </c>
      <c r="D24" s="361" t="s">
        <v>1023</v>
      </c>
      <c r="E24" s="362"/>
      <c r="F24" s="203" t="s">
        <v>486</v>
      </c>
      <c r="G24" s="36">
        <f>'MEMORIA DE CALCULO'!Q25</f>
        <v>96</v>
      </c>
      <c r="H24" s="37">
        <f>COMPOSIÇÕES!L110</f>
        <v>588.71</v>
      </c>
      <c r="I24" s="316">
        <f t="shared" si="1"/>
        <v>56516.160000000003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27.75" customHeight="1">
      <c r="A25" s="11"/>
      <c r="B25" s="33" t="s">
        <v>652</v>
      </c>
      <c r="C25" s="34" t="s">
        <v>684</v>
      </c>
      <c r="D25" s="361" t="s">
        <v>685</v>
      </c>
      <c r="E25" s="362"/>
      <c r="F25" s="203" t="s">
        <v>501</v>
      </c>
      <c r="G25" s="36">
        <f>+'MEMORIA DE CALCULO'!Q26</f>
        <v>30</v>
      </c>
      <c r="H25" s="37">
        <f>COMPOSIÇÕES!L113</f>
        <v>739.22</v>
      </c>
      <c r="I25" s="316">
        <f t="shared" si="1"/>
        <v>22176.6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24.75" customHeight="1">
      <c r="A26" s="29"/>
      <c r="B26" s="33" t="s">
        <v>653</v>
      </c>
      <c r="C26" s="34" t="s">
        <v>686</v>
      </c>
      <c r="D26" s="361" t="s">
        <v>687</v>
      </c>
      <c r="E26" s="362"/>
      <c r="F26" s="203" t="s">
        <v>501</v>
      </c>
      <c r="G26" s="36">
        <f>+'MEMORIA DE CALCULO'!Q27</f>
        <v>35</v>
      </c>
      <c r="H26" s="37">
        <f>COMPOSIÇÕES!L120</f>
        <v>459.62</v>
      </c>
      <c r="I26" s="316">
        <f t="shared" si="1"/>
        <v>16086.7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ht="35.25" customHeight="1">
      <c r="A27" s="29"/>
      <c r="B27" s="33" t="s">
        <v>654</v>
      </c>
      <c r="C27" s="34">
        <v>103800</v>
      </c>
      <c r="D27" s="361" t="s">
        <v>688</v>
      </c>
      <c r="E27" s="362"/>
      <c r="F27" s="203" t="s">
        <v>501</v>
      </c>
      <c r="G27" s="36">
        <f>+'MEMORIA DE CALCULO'!Q28</f>
        <v>35</v>
      </c>
      <c r="H27" s="37">
        <f>COMPOSIÇÕES!L127</f>
        <v>553.25</v>
      </c>
      <c r="I27" s="316">
        <f t="shared" si="1"/>
        <v>19363.75</v>
      </c>
      <c r="J27" s="277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37.5" customHeight="1">
      <c r="A28" s="29"/>
      <c r="B28" s="33" t="s">
        <v>655</v>
      </c>
      <c r="C28" s="34">
        <v>83690</v>
      </c>
      <c r="D28" s="361" t="s">
        <v>689</v>
      </c>
      <c r="E28" s="362"/>
      <c r="F28" s="203" t="s">
        <v>501</v>
      </c>
      <c r="G28" s="36">
        <f>+'MEMORIA DE CALCULO'!Q29</f>
        <v>25</v>
      </c>
      <c r="H28" s="37">
        <f>COMPOSIÇÕES!L134</f>
        <v>700.49</v>
      </c>
      <c r="I28" s="316">
        <f t="shared" si="1"/>
        <v>17512.25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ht="24.75" customHeight="1">
      <c r="A29" s="32"/>
      <c r="B29" s="33" t="s">
        <v>656</v>
      </c>
      <c r="C29" s="34" t="s">
        <v>945</v>
      </c>
      <c r="D29" s="361" t="s">
        <v>946</v>
      </c>
      <c r="E29" s="362"/>
      <c r="F29" s="203" t="s">
        <v>481</v>
      </c>
      <c r="G29" s="36">
        <f>'MEMORIA DE CALCULO'!Q30</f>
        <v>24</v>
      </c>
      <c r="H29" s="37">
        <f>COMPOSIÇÕES!L138</f>
        <v>417.31</v>
      </c>
      <c r="I29" s="316">
        <f t="shared" si="1"/>
        <v>10015.44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ht="37.5" customHeight="1">
      <c r="A30" s="32"/>
      <c r="B30" s="33" t="s">
        <v>963</v>
      </c>
      <c r="C30" s="34" t="s">
        <v>947</v>
      </c>
      <c r="D30" s="361" t="s">
        <v>948</v>
      </c>
      <c r="E30" s="362"/>
      <c r="F30" s="203" t="s">
        <v>481</v>
      </c>
      <c r="G30" s="36">
        <f>'MEMORIA DE CALCULO'!Q31</f>
        <v>24</v>
      </c>
      <c r="H30" s="37">
        <f>COMPOSIÇÕES!L142</f>
        <v>843.16000000000008</v>
      </c>
      <c r="I30" s="316">
        <f t="shared" si="1"/>
        <v>20235.84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29" ht="32.25" customHeight="1">
      <c r="A31" s="32"/>
      <c r="B31" s="33" t="s">
        <v>964</v>
      </c>
      <c r="C31" s="34" t="s">
        <v>949</v>
      </c>
      <c r="D31" s="361" t="s">
        <v>950</v>
      </c>
      <c r="E31" s="362"/>
      <c r="F31" s="203" t="s">
        <v>481</v>
      </c>
      <c r="G31" s="36">
        <f>'MEMORIA DE CALCULO'!Q32</f>
        <v>24</v>
      </c>
      <c r="H31" s="37">
        <f>COMPOSIÇÕES!L146</f>
        <v>1428.63</v>
      </c>
      <c r="I31" s="316">
        <f t="shared" si="1"/>
        <v>34287.120000000003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spans="1:29" ht="32.25" customHeight="1">
      <c r="A32" s="32"/>
      <c r="B32" s="33" t="s">
        <v>965</v>
      </c>
      <c r="C32" s="34" t="s">
        <v>951</v>
      </c>
      <c r="D32" s="361" t="s">
        <v>695</v>
      </c>
      <c r="E32" s="362"/>
      <c r="F32" s="203" t="s">
        <v>481</v>
      </c>
      <c r="G32" s="36">
        <f>'MEMORIA DE CALCULO'!Q33</f>
        <v>24</v>
      </c>
      <c r="H32" s="37">
        <f>COMPOSIÇÕES!L150</f>
        <v>2137.73</v>
      </c>
      <c r="I32" s="316">
        <f t="shared" si="1"/>
        <v>51305.52</v>
      </c>
      <c r="J32" s="38"/>
      <c r="K32" s="32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ht="32.25" customHeight="1">
      <c r="A33" s="32"/>
      <c r="B33" s="33" t="s">
        <v>966</v>
      </c>
      <c r="C33" s="34" t="s">
        <v>795</v>
      </c>
      <c r="D33" s="361" t="s">
        <v>1026</v>
      </c>
      <c r="E33" s="362"/>
      <c r="F33" s="203" t="s">
        <v>486</v>
      </c>
      <c r="G33" s="36">
        <f>'MEMORIA DE CALCULO'!Q34</f>
        <v>4148.8</v>
      </c>
      <c r="H33" s="37">
        <f>COMPOSIÇÕES!L155</f>
        <v>14.36</v>
      </c>
      <c r="I33" s="316">
        <f t="shared" ref="I33:I56" si="2">ROUND(G33*H33,2)</f>
        <v>59576.77</v>
      </c>
      <c r="J33" s="38"/>
      <c r="K33" s="262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ht="32.25" customHeight="1">
      <c r="A34" s="32"/>
      <c r="B34" s="33" t="s">
        <v>967</v>
      </c>
      <c r="C34" s="34" t="s">
        <v>807</v>
      </c>
      <c r="D34" s="361" t="s">
        <v>808</v>
      </c>
      <c r="E34" s="362"/>
      <c r="F34" s="203" t="s">
        <v>486</v>
      </c>
      <c r="G34" s="36">
        <f>'MEMORIA DE CALCULO'!Q35</f>
        <v>15</v>
      </c>
      <c r="H34" s="37">
        <f>+COMPOSIÇÕES!L164</f>
        <v>8418.4599999999991</v>
      </c>
      <c r="I34" s="316">
        <f t="shared" si="2"/>
        <v>126276.9</v>
      </c>
      <c r="J34" s="38"/>
      <c r="K34" s="262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 ht="32.25" customHeight="1">
      <c r="A35" s="32"/>
      <c r="B35" s="33" t="s">
        <v>1167</v>
      </c>
      <c r="C35" s="34" t="s">
        <v>821</v>
      </c>
      <c r="D35" s="361" t="s">
        <v>820</v>
      </c>
      <c r="E35" s="362"/>
      <c r="F35" s="203" t="s">
        <v>486</v>
      </c>
      <c r="G35" s="36">
        <f>'MEMORIA DE CALCULO'!Q36</f>
        <v>10</v>
      </c>
      <c r="H35" s="37">
        <f>COMPOSIÇÕES!L171</f>
        <v>5293.1</v>
      </c>
      <c r="I35" s="316">
        <f t="shared" si="2"/>
        <v>52931</v>
      </c>
      <c r="J35" s="38"/>
      <c r="K35" s="262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ht="32.25" customHeight="1">
      <c r="A36" s="32"/>
      <c r="B36" s="33" t="s">
        <v>1168</v>
      </c>
      <c r="C36" s="34" t="s">
        <v>825</v>
      </c>
      <c r="D36" s="361" t="s">
        <v>823</v>
      </c>
      <c r="E36" s="362"/>
      <c r="F36" s="203" t="s">
        <v>486</v>
      </c>
      <c r="G36" s="36">
        <f>'MEMORIA DE CALCULO'!Q37</f>
        <v>3.5</v>
      </c>
      <c r="H36" s="37">
        <f>COMPOSIÇÕES!L178</f>
        <v>3570.89</v>
      </c>
      <c r="I36" s="316">
        <f t="shared" si="2"/>
        <v>12498.12</v>
      </c>
      <c r="J36" s="38"/>
      <c r="K36" s="262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32.25" customHeight="1">
      <c r="A37" s="32"/>
      <c r="B37" s="33" t="s">
        <v>1169</v>
      </c>
      <c r="C37" s="34" t="s">
        <v>827</v>
      </c>
      <c r="D37" s="361" t="s">
        <v>826</v>
      </c>
      <c r="E37" s="362"/>
      <c r="F37" s="203" t="s">
        <v>486</v>
      </c>
      <c r="G37" s="36">
        <f>'MEMORIA DE CALCULO'!Q38</f>
        <v>10</v>
      </c>
      <c r="H37" s="37">
        <f>COMPOSIÇÕES!L185</f>
        <v>2849.0499999999997</v>
      </c>
      <c r="I37" s="316">
        <f t="shared" si="2"/>
        <v>28490.5</v>
      </c>
      <c r="J37" s="38"/>
      <c r="K37" s="262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ht="32.25" customHeight="1">
      <c r="A38" s="32"/>
      <c r="B38" s="33" t="s">
        <v>1170</v>
      </c>
      <c r="C38" s="34" t="s">
        <v>829</v>
      </c>
      <c r="D38" s="361" t="s">
        <v>828</v>
      </c>
      <c r="E38" s="362"/>
      <c r="F38" s="203" t="s">
        <v>486</v>
      </c>
      <c r="G38" s="36">
        <f>'MEMORIA DE CALCULO'!Q39</f>
        <v>25</v>
      </c>
      <c r="H38" s="37">
        <f>COMPOSIÇÕES!L192</f>
        <v>2302.6999999999998</v>
      </c>
      <c r="I38" s="316">
        <f t="shared" si="2"/>
        <v>57567.5</v>
      </c>
      <c r="J38" s="38"/>
      <c r="K38" s="262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 spans="1:29" ht="32.25" customHeight="1">
      <c r="A39" s="32"/>
      <c r="B39" s="33" t="s">
        <v>1171</v>
      </c>
      <c r="C39" s="34" t="s">
        <v>1200</v>
      </c>
      <c r="D39" s="361" t="s">
        <v>1201</v>
      </c>
      <c r="E39" s="362"/>
      <c r="F39" s="203" t="s">
        <v>481</v>
      </c>
      <c r="G39" s="36">
        <f>'MEMORIA DE CALCULO'!Q40</f>
        <v>2</v>
      </c>
      <c r="H39" s="37">
        <f>COMPOSIÇÕES!L200</f>
        <v>34688.949999999997</v>
      </c>
      <c r="I39" s="316">
        <f t="shared" si="2"/>
        <v>69377.899999999994</v>
      </c>
      <c r="J39" s="38"/>
      <c r="K39" s="262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 ht="32.25" customHeight="1">
      <c r="A40" s="32"/>
      <c r="B40" s="33" t="s">
        <v>1172</v>
      </c>
      <c r="C40" s="34" t="s">
        <v>846</v>
      </c>
      <c r="D40" s="361" t="s">
        <v>847</v>
      </c>
      <c r="E40" s="362"/>
      <c r="F40" s="203" t="s">
        <v>481</v>
      </c>
      <c r="G40" s="36">
        <f>'MEMORIA DE CALCULO'!Q41</f>
        <v>2</v>
      </c>
      <c r="H40" s="37">
        <f>COMPOSIÇÕES!L208</f>
        <v>24798.100000000002</v>
      </c>
      <c r="I40" s="316">
        <f t="shared" si="2"/>
        <v>49596.2</v>
      </c>
      <c r="J40" s="38"/>
      <c r="K40" s="262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t="32.25" customHeight="1">
      <c r="A41" s="32"/>
      <c r="B41" s="33" t="s">
        <v>1173</v>
      </c>
      <c r="C41" s="34" t="s">
        <v>1203</v>
      </c>
      <c r="D41" s="361" t="s">
        <v>1202</v>
      </c>
      <c r="E41" s="362"/>
      <c r="F41" s="203" t="s">
        <v>481</v>
      </c>
      <c r="G41" s="36">
        <f>'MEMORIA DE CALCULO'!Q42</f>
        <v>2</v>
      </c>
      <c r="H41" s="37">
        <f>COMPOSIÇÕES!L216</f>
        <v>16000.370000000003</v>
      </c>
      <c r="I41" s="316">
        <f t="shared" si="2"/>
        <v>32000.74</v>
      </c>
      <c r="J41" s="38"/>
      <c r="K41" s="262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t="32.25" customHeight="1">
      <c r="A42" s="32"/>
      <c r="B42" s="33" t="s">
        <v>1174</v>
      </c>
      <c r="C42" s="34" t="s">
        <v>1211</v>
      </c>
      <c r="D42" s="361" t="s">
        <v>1205</v>
      </c>
      <c r="E42" s="362"/>
      <c r="F42" s="203" t="s">
        <v>481</v>
      </c>
      <c r="G42" s="36">
        <f>'MEMORIA DE CALCULO'!Q43</f>
        <v>2</v>
      </c>
      <c r="H42" s="37">
        <f>COMPOSIÇÕES!L220</f>
        <v>5196.8500000000004</v>
      </c>
      <c r="I42" s="316">
        <f t="shared" si="2"/>
        <v>10393.700000000001</v>
      </c>
      <c r="J42" s="38"/>
      <c r="K42" s="262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t="32.25" customHeight="1">
      <c r="A43" s="32"/>
      <c r="B43" s="33" t="s">
        <v>1175</v>
      </c>
      <c r="C43" s="34" t="s">
        <v>1210</v>
      </c>
      <c r="D43" s="361" t="s">
        <v>1212</v>
      </c>
      <c r="E43" s="362"/>
      <c r="F43" s="203" t="s">
        <v>481</v>
      </c>
      <c r="G43" s="36">
        <f>'MEMORIA DE CALCULO'!Q44</f>
        <v>2</v>
      </c>
      <c r="H43" s="37">
        <f>COMPOSIÇÕES!L224</f>
        <v>3997.08</v>
      </c>
      <c r="I43" s="316">
        <f t="shared" si="2"/>
        <v>7994.16</v>
      </c>
      <c r="J43" s="38"/>
      <c r="K43" s="262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ht="32.25" customHeight="1">
      <c r="A44" s="32"/>
      <c r="B44" s="33" t="s">
        <v>1176</v>
      </c>
      <c r="C44" s="34" t="s">
        <v>831</v>
      </c>
      <c r="D44" s="361" t="s">
        <v>832</v>
      </c>
      <c r="E44" s="362"/>
      <c r="F44" s="203" t="s">
        <v>486</v>
      </c>
      <c r="G44" s="36">
        <f>'MEMORIA DE CALCULO'!Q45</f>
        <v>9</v>
      </c>
      <c r="H44" s="37">
        <f>COMPOSIÇÕES!L237</f>
        <v>6960.16</v>
      </c>
      <c r="I44" s="316">
        <f t="shared" si="2"/>
        <v>62641.440000000002</v>
      </c>
      <c r="J44" s="38"/>
      <c r="K44" s="262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t="27" customHeight="1">
      <c r="A45" s="32"/>
      <c r="B45" s="33" t="s">
        <v>1177</v>
      </c>
      <c r="C45" s="34" t="s">
        <v>846</v>
      </c>
      <c r="D45" s="361" t="s">
        <v>847</v>
      </c>
      <c r="E45" s="362"/>
      <c r="F45" s="203" t="s">
        <v>481</v>
      </c>
      <c r="G45" s="36">
        <f>'MEMORIA DE CALCULO'!Q46</f>
        <v>4</v>
      </c>
      <c r="H45" s="37">
        <f>COMPOSIÇÕES!L245</f>
        <v>24798.100000000002</v>
      </c>
      <c r="I45" s="316">
        <f t="shared" si="2"/>
        <v>99192.4</v>
      </c>
      <c r="J45" s="38"/>
      <c r="K45" s="262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32.25" customHeight="1">
      <c r="A46" s="32"/>
      <c r="B46" s="33" t="s">
        <v>1178</v>
      </c>
      <c r="C46" s="34" t="s">
        <v>850</v>
      </c>
      <c r="D46" s="361" t="s">
        <v>851</v>
      </c>
      <c r="E46" s="362"/>
      <c r="F46" s="203" t="s">
        <v>481</v>
      </c>
      <c r="G46" s="36">
        <f>'MEMORIA DE CALCULO'!Q47</f>
        <v>4</v>
      </c>
      <c r="H46" s="37">
        <f>COMPOSIÇÕES!L253</f>
        <v>1643.57</v>
      </c>
      <c r="I46" s="316">
        <f t="shared" si="2"/>
        <v>6574.28</v>
      </c>
      <c r="J46" s="38"/>
      <c r="K46" s="32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ht="32.25" customHeight="1">
      <c r="A47" s="32"/>
      <c r="B47" s="33" t="s">
        <v>1179</v>
      </c>
      <c r="C47" s="34" t="s">
        <v>857</v>
      </c>
      <c r="D47" s="361" t="s">
        <v>858</v>
      </c>
      <c r="E47" s="362"/>
      <c r="F47" s="203" t="s">
        <v>486</v>
      </c>
      <c r="G47" s="36">
        <f>'MEMORIA DE CALCULO'!Q48</f>
        <v>500</v>
      </c>
      <c r="H47" s="37">
        <f>COMPOSIÇÕES!L268</f>
        <v>216.76</v>
      </c>
      <c r="I47" s="316">
        <f t="shared" si="2"/>
        <v>108380</v>
      </c>
      <c r="J47" s="38"/>
      <c r="K47" s="262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29" ht="32.25" customHeight="1">
      <c r="A48" s="32"/>
      <c r="B48" s="33" t="s">
        <v>1180</v>
      </c>
      <c r="C48" s="34" t="s">
        <v>888</v>
      </c>
      <c r="D48" s="361" t="s">
        <v>889</v>
      </c>
      <c r="E48" s="362"/>
      <c r="F48" s="203" t="s">
        <v>501</v>
      </c>
      <c r="G48" s="36">
        <f>'MEMORIA DE CALCULO'!Q49</f>
        <v>100</v>
      </c>
      <c r="H48" s="37">
        <f>COMPOSIÇÕES!L277</f>
        <v>1137.06</v>
      </c>
      <c r="I48" s="316">
        <f t="shared" si="2"/>
        <v>113706</v>
      </c>
      <c r="J48" s="38"/>
      <c r="K48" s="32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:29" ht="32.25" customHeight="1">
      <c r="A49" s="32"/>
      <c r="B49" s="33" t="s">
        <v>1181</v>
      </c>
      <c r="C49" s="34" t="s">
        <v>896</v>
      </c>
      <c r="D49" s="361" t="s">
        <v>898</v>
      </c>
      <c r="E49" s="362"/>
      <c r="F49" s="203" t="s">
        <v>486</v>
      </c>
      <c r="G49" s="36">
        <f>'MEMORIA DE CALCULO'!Q50</f>
        <v>14</v>
      </c>
      <c r="H49" s="37">
        <f>COMPOSIÇÕES!L284</f>
        <v>3147.4500000000003</v>
      </c>
      <c r="I49" s="316">
        <f t="shared" si="2"/>
        <v>44064.3</v>
      </c>
      <c r="J49" s="38"/>
      <c r="K49" s="32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 spans="1:29" ht="32.25" customHeight="1">
      <c r="A50" s="32"/>
      <c r="B50" s="33" t="s">
        <v>1213</v>
      </c>
      <c r="C50" s="34" t="s">
        <v>903</v>
      </c>
      <c r="D50" s="361" t="s">
        <v>905</v>
      </c>
      <c r="E50" s="362"/>
      <c r="F50" s="203" t="s">
        <v>501</v>
      </c>
      <c r="G50" s="36">
        <f>'MEMORIA DE CALCULO'!Q51</f>
        <v>400</v>
      </c>
      <c r="H50" s="37">
        <f>COMPOSIÇÕES!L304</f>
        <v>116.48000000000002</v>
      </c>
      <c r="I50" s="316">
        <f t="shared" si="2"/>
        <v>46592</v>
      </c>
      <c r="J50" s="38"/>
      <c r="K50" s="32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:29" ht="32.25" customHeight="1">
      <c r="A51" s="32"/>
      <c r="B51" s="33" t="s">
        <v>1214</v>
      </c>
      <c r="C51" s="34" t="s">
        <v>910</v>
      </c>
      <c r="D51" s="361" t="s">
        <v>912</v>
      </c>
      <c r="E51" s="362"/>
      <c r="F51" s="203" t="s">
        <v>501</v>
      </c>
      <c r="G51" s="36">
        <f>'MEMORIA DE CALCULO'!Q52</f>
        <v>200</v>
      </c>
      <c r="H51" s="37">
        <f>COMPOSIÇÕES!L313</f>
        <v>404.47999999999996</v>
      </c>
      <c r="I51" s="316">
        <f t="shared" si="2"/>
        <v>80896</v>
      </c>
      <c r="J51" s="38"/>
      <c r="K51" s="32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:29" ht="27.75" customHeight="1">
      <c r="A52" s="32"/>
      <c r="B52" s="33" t="s">
        <v>1215</v>
      </c>
      <c r="C52" s="34" t="s">
        <v>1237</v>
      </c>
      <c r="D52" s="361" t="s">
        <v>1238</v>
      </c>
      <c r="E52" s="362"/>
      <c r="F52" s="203" t="s">
        <v>486</v>
      </c>
      <c r="G52" s="36">
        <f>'MEMORIA DE CALCULO'!Q53</f>
        <v>24</v>
      </c>
      <c r="H52" s="37">
        <f>COMPOSIÇÕES!L320</f>
        <v>270.27</v>
      </c>
      <c r="I52" s="316">
        <f t="shared" si="2"/>
        <v>6486.48</v>
      </c>
      <c r="J52" s="38"/>
      <c r="K52" s="32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:29" ht="32.25" customHeight="1">
      <c r="A53" s="32"/>
      <c r="B53" s="33" t="s">
        <v>1216</v>
      </c>
      <c r="C53" s="34" t="s">
        <v>1239</v>
      </c>
      <c r="D53" s="361" t="s">
        <v>1240</v>
      </c>
      <c r="E53" s="362"/>
      <c r="F53" s="203" t="s">
        <v>486</v>
      </c>
      <c r="G53" s="36">
        <f>'MEMORIA DE CALCULO'!Q54</f>
        <v>24</v>
      </c>
      <c r="H53" s="37">
        <f>COMPOSIÇÕES!L327</f>
        <v>643.7600000000001</v>
      </c>
      <c r="I53" s="316">
        <f t="shared" si="2"/>
        <v>15450.24</v>
      </c>
      <c r="J53" s="38"/>
      <c r="K53" s="32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ht="32.25" customHeight="1">
      <c r="A54" s="32"/>
      <c r="B54" s="33" t="s">
        <v>1217</v>
      </c>
      <c r="C54" s="34" t="s">
        <v>916</v>
      </c>
      <c r="D54" s="361" t="s">
        <v>918</v>
      </c>
      <c r="E54" s="362"/>
      <c r="F54" s="203" t="s">
        <v>486</v>
      </c>
      <c r="G54" s="36">
        <f>'MEMORIA DE CALCULO'!Q55</f>
        <v>24</v>
      </c>
      <c r="H54" s="37">
        <f>COMPOSIÇÕES!L334</f>
        <v>2236.96</v>
      </c>
      <c r="I54" s="316">
        <f t="shared" si="2"/>
        <v>53687.040000000001</v>
      </c>
      <c r="J54" s="38"/>
      <c r="K54" s="32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:29" ht="32.25" customHeight="1">
      <c r="A55" s="32"/>
      <c r="B55" s="33" t="s">
        <v>1235</v>
      </c>
      <c r="C55" s="34" t="s">
        <v>921</v>
      </c>
      <c r="D55" s="361" t="s">
        <v>923</v>
      </c>
      <c r="E55" s="362"/>
      <c r="F55" s="203" t="s">
        <v>487</v>
      </c>
      <c r="G55" s="36">
        <f>'MEMORIA DE CALCULO'!Q56</f>
        <v>3000</v>
      </c>
      <c r="H55" s="37">
        <f>COMPOSIÇÕES!L341</f>
        <v>20.04</v>
      </c>
      <c r="I55" s="316">
        <f t="shared" si="2"/>
        <v>60120</v>
      </c>
      <c r="J55" s="38"/>
      <c r="K55" s="32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ht="32.25" customHeight="1">
      <c r="A56" s="32"/>
      <c r="B56" s="33" t="s">
        <v>1236</v>
      </c>
      <c r="C56" s="34" t="s">
        <v>930</v>
      </c>
      <c r="D56" s="361" t="s">
        <v>932</v>
      </c>
      <c r="E56" s="362"/>
      <c r="F56" s="203" t="s">
        <v>501</v>
      </c>
      <c r="G56" s="36">
        <f>'MEMORIA DE CALCULO'!Q57</f>
        <v>700</v>
      </c>
      <c r="H56" s="37">
        <f>COMPOSIÇÕES!L359</f>
        <v>68.959999999999994</v>
      </c>
      <c r="I56" s="316">
        <f t="shared" si="2"/>
        <v>48272</v>
      </c>
      <c r="J56" s="38"/>
      <c r="K56" s="32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</row>
    <row r="57" spans="1:29" ht="22.5" customHeight="1">
      <c r="A57" s="162"/>
      <c r="B57" s="30" t="s">
        <v>493</v>
      </c>
      <c r="C57" s="31"/>
      <c r="D57" s="383" t="s">
        <v>696</v>
      </c>
      <c r="E57" s="364"/>
      <c r="F57" s="364"/>
      <c r="G57" s="364"/>
      <c r="H57" s="365"/>
      <c r="I57" s="317">
        <f>SUM(I58:I71)</f>
        <v>4372806.21</v>
      </c>
      <c r="J57" s="162"/>
      <c r="K57" s="181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</row>
    <row r="58" spans="1:29" ht="37.5" customHeight="1">
      <c r="A58" s="162"/>
      <c r="B58" s="33" t="s">
        <v>514</v>
      </c>
      <c r="C58" s="34" t="s">
        <v>793</v>
      </c>
      <c r="D58" s="361" t="s">
        <v>803</v>
      </c>
      <c r="E58" s="362"/>
      <c r="F58" s="35" t="s">
        <v>487</v>
      </c>
      <c r="G58" s="36">
        <f>'MEMORIA DE CALCULO'!Q59</f>
        <v>777945</v>
      </c>
      <c r="H58" s="37">
        <f>COMPOSIÇÕES!L365</f>
        <v>0.39</v>
      </c>
      <c r="I58" s="316">
        <f t="shared" si="1"/>
        <v>303398.55</v>
      </c>
      <c r="J58" s="162"/>
      <c r="K58" s="181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</row>
    <row r="59" spans="1:29" ht="70.5" customHeight="1">
      <c r="A59" s="32"/>
      <c r="B59" s="33" t="s">
        <v>515</v>
      </c>
      <c r="C59" s="34">
        <v>90082</v>
      </c>
      <c r="D59" s="361" t="s">
        <v>697</v>
      </c>
      <c r="E59" s="362"/>
      <c r="F59" s="35" t="s">
        <v>501</v>
      </c>
      <c r="G59" s="36">
        <f>+'MEMORIA DE CALCULO'!Q60</f>
        <v>720</v>
      </c>
      <c r="H59" s="37">
        <f>+COMPOSIÇÕES!L370</f>
        <v>11.809999999999999</v>
      </c>
      <c r="I59" s="316">
        <f t="shared" si="1"/>
        <v>8503.2000000000007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</row>
    <row r="60" spans="1:29" ht="62.25" customHeight="1">
      <c r="A60" s="32"/>
      <c r="B60" s="33" t="s">
        <v>516</v>
      </c>
      <c r="C60" s="34">
        <v>90084</v>
      </c>
      <c r="D60" s="361" t="s">
        <v>698</v>
      </c>
      <c r="E60" s="362"/>
      <c r="F60" s="35" t="s">
        <v>501</v>
      </c>
      <c r="G60" s="36">
        <f>+'MEMORIA DE CALCULO'!Q61</f>
        <v>720</v>
      </c>
      <c r="H60" s="37">
        <f>COMPOSIÇÕES!L375</f>
        <v>11.43</v>
      </c>
      <c r="I60" s="316">
        <f t="shared" si="1"/>
        <v>8229.6</v>
      </c>
      <c r="J60" s="212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 spans="1:29" ht="40.5" customHeight="1">
      <c r="A61" s="32"/>
      <c r="B61" s="33" t="s">
        <v>669</v>
      </c>
      <c r="C61" s="34">
        <v>83336</v>
      </c>
      <c r="D61" s="361" t="s">
        <v>699</v>
      </c>
      <c r="E61" s="362"/>
      <c r="F61" s="35" t="s">
        <v>501</v>
      </c>
      <c r="G61" s="36">
        <f>'MEMORIA DE CALCULO'!Q62</f>
        <v>15000</v>
      </c>
      <c r="H61" s="37">
        <f>COMPOSIÇÕES!L379</f>
        <v>6.7</v>
      </c>
      <c r="I61" s="316">
        <f t="shared" si="1"/>
        <v>100500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</row>
    <row r="62" spans="1:29" ht="39" customHeight="1">
      <c r="A62" s="32"/>
      <c r="B62" s="33" t="s">
        <v>670</v>
      </c>
      <c r="C62" s="34" t="s">
        <v>701</v>
      </c>
      <c r="D62" s="361" t="s">
        <v>703</v>
      </c>
      <c r="E62" s="362"/>
      <c r="F62" s="35" t="s">
        <v>501</v>
      </c>
      <c r="G62" s="36">
        <f>'MEMORIA DE CALCULO'!Q63</f>
        <v>108125</v>
      </c>
      <c r="H62" s="37">
        <f>COMPOSIÇÕES!L384</f>
        <v>1.8800000000000001</v>
      </c>
      <c r="I62" s="316">
        <f t="shared" si="1"/>
        <v>203275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</row>
    <row r="63" spans="1:29" ht="39" customHeight="1">
      <c r="A63" s="32"/>
      <c r="B63" s="33" t="s">
        <v>878</v>
      </c>
      <c r="C63" s="34" t="s">
        <v>957</v>
      </c>
      <c r="D63" s="361" t="s">
        <v>958</v>
      </c>
      <c r="E63" s="362"/>
      <c r="F63" s="35" t="s">
        <v>659</v>
      </c>
      <c r="G63" s="36">
        <f>'MEMORIA DE CALCULO'!Q64</f>
        <v>143936</v>
      </c>
      <c r="H63" s="37">
        <f>COMPOSIÇÕES!L389</f>
        <v>3.21</v>
      </c>
      <c r="I63" s="316">
        <f t="shared" si="1"/>
        <v>462034.56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</row>
    <row r="64" spans="1:29" ht="29.25" customHeight="1">
      <c r="A64" s="32"/>
      <c r="B64" s="33" t="s">
        <v>882</v>
      </c>
      <c r="C64" s="34">
        <v>95606</v>
      </c>
      <c r="D64" s="361" t="s">
        <v>713</v>
      </c>
      <c r="E64" s="362"/>
      <c r="F64" s="35" t="s">
        <v>501</v>
      </c>
      <c r="G64" s="36">
        <f>'MEMORIA DE CALCULO'!Q65</f>
        <v>108125</v>
      </c>
      <c r="H64" s="37">
        <f>COMPOSIÇÕES!L394</f>
        <v>2.46</v>
      </c>
      <c r="I64" s="316">
        <f t="shared" si="1"/>
        <v>265987.5</v>
      </c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 ht="36.75" customHeight="1">
      <c r="A65" s="32"/>
      <c r="B65" s="33" t="s">
        <v>884</v>
      </c>
      <c r="C65" s="34">
        <v>93588</v>
      </c>
      <c r="D65" s="361" t="s">
        <v>954</v>
      </c>
      <c r="E65" s="362"/>
      <c r="F65" s="35" t="s">
        <v>788</v>
      </c>
      <c r="G65" s="36">
        <f>'MEMORIA DE CALCULO'!Q66</f>
        <v>89960</v>
      </c>
      <c r="H65" s="37">
        <f>COMPOSIÇÕES!L398</f>
        <v>3.39</v>
      </c>
      <c r="I65" s="316">
        <f t="shared" si="1"/>
        <v>304964.40000000002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 ht="36.75" customHeight="1">
      <c r="A66" s="32"/>
      <c r="B66" s="33" t="s">
        <v>1182</v>
      </c>
      <c r="C66" s="34" t="s">
        <v>952</v>
      </c>
      <c r="D66" s="361" t="s">
        <v>955</v>
      </c>
      <c r="E66" s="362"/>
      <c r="F66" s="35" t="s">
        <v>788</v>
      </c>
      <c r="G66" s="36">
        <f>'MEMORIA DE CALCULO'!Q67</f>
        <v>22490</v>
      </c>
      <c r="H66" s="37">
        <f>COMPOSIÇÕES!L402</f>
        <v>2.9099999999999997</v>
      </c>
      <c r="I66" s="316">
        <f t="shared" si="1"/>
        <v>65445.9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 ht="53.25" customHeight="1">
      <c r="A67" s="32"/>
      <c r="B67" s="33" t="s">
        <v>1183</v>
      </c>
      <c r="C67" s="34">
        <v>93360</v>
      </c>
      <c r="D67" s="361" t="s">
        <v>710</v>
      </c>
      <c r="E67" s="362"/>
      <c r="F67" s="35" t="s">
        <v>501</v>
      </c>
      <c r="G67" s="36">
        <f>'MEMORIA DE CALCULO'!Q68</f>
        <v>720</v>
      </c>
      <c r="H67" s="37">
        <f>COMPOSIÇÕES!L412</f>
        <v>22.779999999999998</v>
      </c>
      <c r="I67" s="316">
        <f t="shared" si="1"/>
        <v>16401.599999999999</v>
      </c>
      <c r="J67" s="14"/>
      <c r="K67" s="43"/>
      <c r="L67" s="14"/>
      <c r="M67" s="39"/>
      <c r="N67" s="14"/>
      <c r="O67" s="40"/>
      <c r="P67" s="41"/>
      <c r="Q67" s="42"/>
      <c r="R67" s="14"/>
      <c r="S67" s="14"/>
      <c r="T67" s="14"/>
      <c r="U67" s="39"/>
      <c r="V67" s="14"/>
      <c r="W67" s="40"/>
      <c r="X67" s="41"/>
      <c r="Y67" s="42"/>
      <c r="Z67" s="14"/>
      <c r="AA67" s="14"/>
      <c r="AB67" s="14"/>
      <c r="AC67" s="39"/>
    </row>
    <row r="68" spans="1:29" ht="54.75" customHeight="1">
      <c r="A68" s="32"/>
      <c r="B68" s="33" t="s">
        <v>1184</v>
      </c>
      <c r="C68" s="34">
        <v>93367</v>
      </c>
      <c r="D68" s="361" t="s">
        <v>714</v>
      </c>
      <c r="E68" s="362"/>
      <c r="F68" s="35" t="s">
        <v>501</v>
      </c>
      <c r="G68" s="36">
        <f>+'MEMORIA DE CALCULO'!Q69</f>
        <v>720</v>
      </c>
      <c r="H68" s="37">
        <f>+COMPOSIÇÕES!L420</f>
        <v>21.220000000000002</v>
      </c>
      <c r="I68" s="316">
        <f t="shared" si="1"/>
        <v>15278.4</v>
      </c>
      <c r="J68" s="14"/>
      <c r="K68" s="43"/>
      <c r="L68" s="14"/>
      <c r="M68" s="39"/>
      <c r="N68" s="14"/>
      <c r="O68" s="40"/>
      <c r="P68" s="41"/>
      <c r="Q68" s="42"/>
      <c r="R68" s="14"/>
      <c r="S68" s="14"/>
      <c r="T68" s="14"/>
      <c r="U68" s="39"/>
      <c r="V68" s="14"/>
      <c r="W68" s="40"/>
      <c r="X68" s="41"/>
      <c r="Y68" s="42"/>
      <c r="Z68" s="14"/>
      <c r="AA68" s="14"/>
      <c r="AB68" s="14"/>
      <c r="AC68" s="39"/>
    </row>
    <row r="69" spans="1:29" ht="21.75" customHeight="1">
      <c r="A69" s="32"/>
      <c r="B69" s="33" t="s">
        <v>1185</v>
      </c>
      <c r="C69" s="34" t="s">
        <v>716</v>
      </c>
      <c r="D69" s="361" t="s">
        <v>715</v>
      </c>
      <c r="E69" s="362"/>
      <c r="F69" s="35" t="s">
        <v>487</v>
      </c>
      <c r="G69" s="36">
        <f>+'MEMORIA DE CALCULO'!Q70</f>
        <v>865000</v>
      </c>
      <c r="H69" s="37">
        <f>+COMPOSIÇÕES!L425</f>
        <v>0.13999999999999999</v>
      </c>
      <c r="I69" s="316">
        <f t="shared" si="1"/>
        <v>121100</v>
      </c>
      <c r="J69" s="14"/>
      <c r="K69" s="43"/>
      <c r="L69" s="14"/>
      <c r="M69" s="39"/>
      <c r="N69" s="14"/>
      <c r="O69" s="40"/>
      <c r="P69" s="41"/>
      <c r="Q69" s="42"/>
      <c r="R69" s="14"/>
      <c r="S69" s="14"/>
      <c r="T69" s="14"/>
      <c r="U69" s="39"/>
      <c r="V69" s="14"/>
      <c r="W69" s="40"/>
      <c r="X69" s="41"/>
      <c r="Y69" s="42"/>
      <c r="Z69" s="14"/>
      <c r="AA69" s="14"/>
      <c r="AB69" s="14"/>
      <c r="AC69" s="39"/>
    </row>
    <row r="70" spans="1:29" ht="21.75" customHeight="1">
      <c r="A70" s="32"/>
      <c r="B70" s="33" t="s">
        <v>1186</v>
      </c>
      <c r="C70" s="34" t="s">
        <v>720</v>
      </c>
      <c r="D70" s="361" t="s">
        <v>717</v>
      </c>
      <c r="E70" s="362"/>
      <c r="F70" s="35" t="s">
        <v>501</v>
      </c>
      <c r="G70" s="36">
        <f>+'MEMORIA DE CALCULO'!Q71</f>
        <v>108125</v>
      </c>
      <c r="H70" s="37">
        <f>+COMPOSIÇÕES!L437</f>
        <v>13.3</v>
      </c>
      <c r="I70" s="316">
        <f t="shared" si="1"/>
        <v>1438062.5</v>
      </c>
      <c r="J70" s="14"/>
      <c r="K70" s="43"/>
      <c r="L70" s="14"/>
      <c r="M70" s="39"/>
      <c r="N70" s="14"/>
      <c r="O70" s="40"/>
      <c r="P70" s="41"/>
      <c r="Q70" s="42"/>
      <c r="R70" s="14"/>
      <c r="S70" s="14"/>
      <c r="T70" s="14"/>
      <c r="U70" s="39"/>
      <c r="V70" s="14"/>
      <c r="W70" s="40"/>
      <c r="X70" s="41"/>
      <c r="Y70" s="42"/>
      <c r="Z70" s="14"/>
      <c r="AA70" s="14"/>
      <c r="AB70" s="14"/>
      <c r="AC70" s="39"/>
    </row>
    <row r="71" spans="1:29" ht="23.25" customHeight="1">
      <c r="A71" s="32"/>
      <c r="B71" s="33" t="s">
        <v>1187</v>
      </c>
      <c r="C71" s="34" t="s">
        <v>802</v>
      </c>
      <c r="D71" s="361" t="s">
        <v>801</v>
      </c>
      <c r="E71" s="365"/>
      <c r="F71" s="35" t="s">
        <v>501</v>
      </c>
      <c r="G71" s="36">
        <f>'MEMORIA DE CALCULO'!Q72</f>
        <v>108125</v>
      </c>
      <c r="H71" s="201">
        <f>COMPOSIÇÕES!L451</f>
        <v>9.8000000000000007</v>
      </c>
      <c r="I71" s="316">
        <f t="shared" si="1"/>
        <v>1059625</v>
      </c>
      <c r="J71" s="14"/>
      <c r="K71" s="43"/>
      <c r="L71" s="14"/>
      <c r="M71" s="39"/>
      <c r="N71" s="14"/>
      <c r="O71" s="40"/>
      <c r="P71" s="41"/>
      <c r="Q71" s="42"/>
      <c r="R71" s="14"/>
      <c r="S71" s="14"/>
      <c r="T71" s="14"/>
      <c r="U71" s="39"/>
      <c r="V71" s="14"/>
      <c r="W71" s="40"/>
      <c r="X71" s="41"/>
      <c r="Y71" s="42"/>
      <c r="Z71" s="14"/>
      <c r="AA71" s="14"/>
      <c r="AB71" s="14"/>
      <c r="AC71" s="39"/>
    </row>
    <row r="72" spans="1:29" ht="24" customHeight="1">
      <c r="A72" s="32"/>
      <c r="B72" s="30" t="s">
        <v>494</v>
      </c>
      <c r="C72" s="34"/>
      <c r="D72" s="239" t="s">
        <v>736</v>
      </c>
      <c r="E72" s="308"/>
      <c r="F72" s="308"/>
      <c r="G72" s="308"/>
      <c r="H72" s="307"/>
      <c r="I72" s="317">
        <f>SUM(I73:I82)</f>
        <v>1132125.9300000002</v>
      </c>
      <c r="J72" s="14"/>
      <c r="K72" s="43"/>
      <c r="L72" s="14"/>
      <c r="M72" s="39"/>
      <c r="N72" s="14"/>
      <c r="O72" s="40"/>
      <c r="P72" s="41"/>
      <c r="Q72" s="42"/>
      <c r="R72" s="14"/>
      <c r="S72" s="14"/>
      <c r="T72" s="14"/>
      <c r="U72" s="39"/>
      <c r="V72" s="14"/>
      <c r="W72" s="40"/>
      <c r="X72" s="41"/>
      <c r="Y72" s="42"/>
      <c r="Z72" s="14"/>
      <c r="AA72" s="14"/>
      <c r="AB72" s="14"/>
      <c r="AC72" s="39"/>
    </row>
    <row r="73" spans="1:29" ht="36" customHeight="1">
      <c r="A73" s="32"/>
      <c r="B73" s="33" t="s">
        <v>495</v>
      </c>
      <c r="C73" s="34" t="s">
        <v>738</v>
      </c>
      <c r="D73" s="361" t="s">
        <v>737</v>
      </c>
      <c r="E73" s="362"/>
      <c r="F73" s="35" t="s">
        <v>487</v>
      </c>
      <c r="G73" s="36">
        <f>'MEMORIA DE CALCULO'!Q74</f>
        <v>640</v>
      </c>
      <c r="H73" s="201">
        <f>COMPOSIÇÕES!L459</f>
        <v>24.44</v>
      </c>
      <c r="I73" s="316">
        <f t="shared" ref="I73:I82" si="3">ROUND(G73*H73,2)</f>
        <v>15641.6</v>
      </c>
      <c r="J73" s="14"/>
      <c r="K73" s="181"/>
      <c r="L73" s="14"/>
      <c r="M73" s="39"/>
      <c r="N73" s="14"/>
      <c r="O73" s="40"/>
      <c r="P73" s="41"/>
      <c r="Q73" s="42"/>
      <c r="R73" s="14"/>
      <c r="S73" s="14"/>
      <c r="T73" s="14"/>
      <c r="U73" s="39"/>
      <c r="V73" s="14"/>
      <c r="W73" s="40"/>
      <c r="X73" s="41"/>
      <c r="Y73" s="42"/>
      <c r="Z73" s="14"/>
      <c r="AA73" s="14"/>
      <c r="AB73" s="14"/>
      <c r="AC73" s="39"/>
    </row>
    <row r="74" spans="1:29" ht="27.75" customHeight="1">
      <c r="A74" s="32"/>
      <c r="B74" s="33" t="s">
        <v>496</v>
      </c>
      <c r="C74" s="34" t="s">
        <v>1220</v>
      </c>
      <c r="D74" s="361" t="s">
        <v>750</v>
      </c>
      <c r="E74" s="362"/>
      <c r="F74" s="35" t="s">
        <v>487</v>
      </c>
      <c r="G74" s="36">
        <f>'MEMORIA DE CALCULO'!Q75</f>
        <v>102.4</v>
      </c>
      <c r="H74" s="201">
        <f>COMPOSIÇÕES!L466</f>
        <v>54.16</v>
      </c>
      <c r="I74" s="316">
        <f t="shared" si="3"/>
        <v>5545.98</v>
      </c>
      <c r="J74" s="14"/>
      <c r="K74" s="43"/>
      <c r="L74" s="14"/>
      <c r="M74" s="39"/>
      <c r="N74" s="14"/>
      <c r="O74" s="40"/>
      <c r="P74" s="41"/>
      <c r="Q74" s="42"/>
      <c r="R74" s="14"/>
      <c r="S74" s="14"/>
      <c r="T74" s="14"/>
      <c r="U74" s="39"/>
      <c r="V74" s="14"/>
      <c r="W74" s="40"/>
      <c r="X74" s="41"/>
      <c r="Y74" s="42"/>
      <c r="Z74" s="14"/>
      <c r="AA74" s="14"/>
      <c r="AB74" s="14"/>
      <c r="AC74" s="39"/>
    </row>
    <row r="75" spans="1:29" ht="26.25" customHeight="1">
      <c r="A75" s="32"/>
      <c r="B75" s="33" t="s">
        <v>498</v>
      </c>
      <c r="C75" s="34">
        <v>88239</v>
      </c>
      <c r="D75" s="361" t="s">
        <v>531</v>
      </c>
      <c r="E75" s="362"/>
      <c r="F75" s="35" t="s">
        <v>528</v>
      </c>
      <c r="G75" s="36">
        <f>'MEMORIA DE CALCULO'!Q76</f>
        <v>2640</v>
      </c>
      <c r="H75" s="201">
        <f>COMPOSIÇÕES!L476</f>
        <v>22.289999999999996</v>
      </c>
      <c r="I75" s="316">
        <f t="shared" si="3"/>
        <v>58845.599999999999</v>
      </c>
      <c r="J75" s="14"/>
      <c r="K75" s="43"/>
      <c r="L75" s="14"/>
      <c r="M75" s="39"/>
      <c r="N75" s="14"/>
      <c r="O75" s="40"/>
      <c r="P75" s="41"/>
      <c r="Q75" s="42"/>
      <c r="R75" s="14"/>
      <c r="S75" s="14"/>
      <c r="T75" s="14"/>
      <c r="U75" s="39"/>
      <c r="V75" s="14"/>
      <c r="W75" s="40"/>
      <c r="X75" s="41"/>
      <c r="Y75" s="42"/>
      <c r="Z75" s="14"/>
      <c r="AA75" s="14"/>
      <c r="AB75" s="14"/>
      <c r="AC75" s="39"/>
    </row>
    <row r="76" spans="1:29" ht="27.75" customHeight="1">
      <c r="A76" s="32"/>
      <c r="B76" s="33" t="s">
        <v>499</v>
      </c>
      <c r="C76" s="34">
        <v>88262</v>
      </c>
      <c r="D76" s="361" t="s">
        <v>527</v>
      </c>
      <c r="E76" s="362"/>
      <c r="F76" s="35" t="s">
        <v>528</v>
      </c>
      <c r="G76" s="36">
        <f>'MEMORIA DE CALCULO'!Q77</f>
        <v>1320</v>
      </c>
      <c r="H76" s="201">
        <f>COMPOSIÇÕES!L487</f>
        <v>27.54</v>
      </c>
      <c r="I76" s="316">
        <f t="shared" si="3"/>
        <v>36352.800000000003</v>
      </c>
      <c r="J76" s="14"/>
      <c r="K76" s="43"/>
      <c r="L76" s="14"/>
      <c r="M76" s="39"/>
      <c r="N76" s="14"/>
      <c r="O76" s="40"/>
      <c r="P76" s="41"/>
      <c r="Q76" s="42"/>
      <c r="R76" s="14"/>
      <c r="S76" s="14"/>
      <c r="T76" s="14"/>
      <c r="U76" s="39"/>
      <c r="V76" s="14"/>
      <c r="W76" s="40"/>
      <c r="X76" s="41"/>
      <c r="Y76" s="42"/>
      <c r="Z76" s="14"/>
      <c r="AA76" s="14"/>
      <c r="AB76" s="14"/>
      <c r="AC76" s="39"/>
    </row>
    <row r="77" spans="1:29" ht="40.5" customHeight="1">
      <c r="A77" s="32"/>
      <c r="B77" s="33" t="s">
        <v>1188</v>
      </c>
      <c r="C77" s="34">
        <v>94971</v>
      </c>
      <c r="D77" s="361" t="s">
        <v>769</v>
      </c>
      <c r="E77" s="362"/>
      <c r="F77" s="35" t="s">
        <v>501</v>
      </c>
      <c r="G77" s="36">
        <f>'MEMORIA DE CALCULO'!Q78</f>
        <v>28.320000000000007</v>
      </c>
      <c r="H77" s="201">
        <f>COMPOSIÇÕES!L496</f>
        <v>570.56000000000006</v>
      </c>
      <c r="I77" s="316">
        <f t="shared" si="3"/>
        <v>16158.26</v>
      </c>
      <c r="J77" s="210"/>
      <c r="K77" s="43"/>
      <c r="L77" s="14"/>
      <c r="M77" s="39"/>
      <c r="N77" s="14"/>
      <c r="O77" s="40"/>
      <c r="P77" s="41"/>
      <c r="Q77" s="42"/>
      <c r="R77" s="14"/>
      <c r="S77" s="14"/>
      <c r="T77" s="14"/>
      <c r="U77" s="39"/>
      <c r="V77" s="14"/>
      <c r="W77" s="40"/>
      <c r="X77" s="41"/>
      <c r="Y77" s="42"/>
      <c r="Z77" s="14"/>
      <c r="AA77" s="14"/>
      <c r="AB77" s="14"/>
      <c r="AC77" s="39"/>
    </row>
    <row r="78" spans="1:29" ht="28.5" customHeight="1">
      <c r="A78" s="32"/>
      <c r="B78" s="33" t="s">
        <v>1189</v>
      </c>
      <c r="C78" s="34" t="s">
        <v>879</v>
      </c>
      <c r="D78" s="361" t="s">
        <v>880</v>
      </c>
      <c r="E78" s="362"/>
      <c r="F78" s="200" t="s">
        <v>486</v>
      </c>
      <c r="G78" s="36">
        <f>'MEMORIA DE CALCULO'!Q79</f>
        <v>50.4</v>
      </c>
      <c r="H78" s="201">
        <f>COMPOSIÇÕES!L499</f>
        <v>8.6999999999999993</v>
      </c>
      <c r="I78" s="316">
        <f t="shared" si="3"/>
        <v>438.48</v>
      </c>
      <c r="J78" s="210"/>
      <c r="K78" s="43"/>
      <c r="L78" s="14"/>
      <c r="M78" s="39"/>
      <c r="N78" s="14"/>
      <c r="O78" s="40"/>
      <c r="P78" s="41"/>
      <c r="Q78" s="42"/>
      <c r="R78" s="14"/>
      <c r="S78" s="14"/>
      <c r="T78" s="14"/>
      <c r="U78" s="39"/>
      <c r="V78" s="14"/>
      <c r="W78" s="40"/>
      <c r="X78" s="41"/>
      <c r="Y78" s="42"/>
      <c r="Z78" s="14"/>
      <c r="AA78" s="14"/>
      <c r="AB78" s="14"/>
      <c r="AC78" s="39"/>
    </row>
    <row r="79" spans="1:29" ht="40.5" customHeight="1">
      <c r="A79" s="32"/>
      <c r="B79" s="33" t="s">
        <v>1190</v>
      </c>
      <c r="C79" s="34" t="s">
        <v>881</v>
      </c>
      <c r="D79" s="361" t="s">
        <v>883</v>
      </c>
      <c r="E79" s="362"/>
      <c r="F79" s="200" t="s">
        <v>486</v>
      </c>
      <c r="G79" s="36">
        <f>'MEMORIA DE CALCULO'!Q80</f>
        <v>1088</v>
      </c>
      <c r="H79" s="201">
        <f>COMPOSIÇÕES!L502</f>
        <v>122.13</v>
      </c>
      <c r="I79" s="316">
        <f t="shared" si="3"/>
        <v>132877.44</v>
      </c>
      <c r="J79" s="210"/>
      <c r="K79" s="43"/>
      <c r="L79" s="14"/>
      <c r="M79" s="39"/>
      <c r="N79" s="14"/>
      <c r="O79" s="40"/>
      <c r="P79" s="41"/>
      <c r="Q79" s="42"/>
      <c r="R79" s="14"/>
      <c r="S79" s="14"/>
      <c r="T79" s="14"/>
      <c r="U79" s="39"/>
      <c r="V79" s="14"/>
      <c r="W79" s="40"/>
      <c r="X79" s="41"/>
      <c r="Y79" s="42"/>
      <c r="Z79" s="14"/>
      <c r="AA79" s="14"/>
      <c r="AB79" s="14"/>
      <c r="AC79" s="39"/>
    </row>
    <row r="80" spans="1:29" ht="40.5" customHeight="1">
      <c r="A80" s="32"/>
      <c r="B80" s="33" t="s">
        <v>1191</v>
      </c>
      <c r="C80" s="34">
        <v>13294</v>
      </c>
      <c r="D80" s="361" t="s">
        <v>885</v>
      </c>
      <c r="E80" s="362"/>
      <c r="F80" s="200" t="s">
        <v>886</v>
      </c>
      <c r="G80" s="36">
        <f>'MEMORIA DE CALCULO'!Q81</f>
        <v>124.80000000000001</v>
      </c>
      <c r="H80" s="201">
        <f>COMPOSIÇÕES!L505</f>
        <v>2.1</v>
      </c>
      <c r="I80" s="316">
        <f t="shared" si="3"/>
        <v>262.08</v>
      </c>
      <c r="J80" s="210"/>
      <c r="K80" s="43"/>
      <c r="L80" s="14"/>
      <c r="M80" s="39"/>
      <c r="N80" s="14"/>
      <c r="O80" s="40"/>
      <c r="P80" s="41"/>
      <c r="Q80" s="42"/>
      <c r="R80" s="14"/>
      <c r="S80" s="14"/>
      <c r="T80" s="14"/>
      <c r="U80" s="39"/>
      <c r="V80" s="14"/>
      <c r="W80" s="40"/>
      <c r="X80" s="41"/>
      <c r="Y80" s="42"/>
      <c r="Z80" s="14"/>
      <c r="AA80" s="14"/>
      <c r="AB80" s="14"/>
      <c r="AC80" s="39"/>
    </row>
    <row r="81" spans="1:29" ht="27.75" customHeight="1">
      <c r="A81" s="32"/>
      <c r="B81" s="33" t="s">
        <v>1218</v>
      </c>
      <c r="C81" s="34" t="s">
        <v>1219</v>
      </c>
      <c r="D81" s="361" t="s">
        <v>1221</v>
      </c>
      <c r="E81" s="362"/>
      <c r="F81" s="35" t="s">
        <v>501</v>
      </c>
      <c r="G81" s="36">
        <f>'MEMORIA DE CALCULO'!Q82</f>
        <v>844.8</v>
      </c>
      <c r="H81" s="201">
        <f>COMPOSIÇÕES!L511</f>
        <v>559.75</v>
      </c>
      <c r="I81" s="316">
        <f t="shared" si="3"/>
        <v>472876.79999999999</v>
      </c>
      <c r="J81" s="210"/>
      <c r="K81" s="43"/>
      <c r="L81" s="14"/>
      <c r="M81" s="39"/>
      <c r="N81" s="14"/>
      <c r="O81" s="40"/>
      <c r="P81" s="41"/>
      <c r="Q81" s="42"/>
      <c r="R81" s="14"/>
      <c r="S81" s="14"/>
      <c r="T81" s="14"/>
      <c r="U81" s="39"/>
      <c r="V81" s="14"/>
      <c r="W81" s="40"/>
      <c r="X81" s="41"/>
      <c r="Y81" s="42"/>
      <c r="Z81" s="14"/>
      <c r="AA81" s="14"/>
      <c r="AB81" s="14"/>
      <c r="AC81" s="39"/>
    </row>
    <row r="82" spans="1:29" ht="35.25" customHeight="1">
      <c r="A82" s="32"/>
      <c r="B82" s="33" t="s">
        <v>1229</v>
      </c>
      <c r="C82" s="34" t="s">
        <v>1230</v>
      </c>
      <c r="D82" s="361" t="s">
        <v>1232</v>
      </c>
      <c r="E82" s="362"/>
      <c r="F82" s="35" t="s">
        <v>501</v>
      </c>
      <c r="G82" s="36">
        <f>'MEMORIA DE CALCULO'!Q83</f>
        <v>46.59</v>
      </c>
      <c r="H82" s="201">
        <f>COMPOSIÇÕES!L519</f>
        <v>8438.0099999999984</v>
      </c>
      <c r="I82" s="316">
        <f t="shared" si="3"/>
        <v>393126.89</v>
      </c>
      <c r="J82" s="210"/>
      <c r="K82" s="43"/>
      <c r="L82" s="14"/>
      <c r="M82" s="39"/>
      <c r="N82" s="14"/>
      <c r="O82" s="40"/>
      <c r="P82" s="41"/>
      <c r="Q82" s="42"/>
      <c r="R82" s="14"/>
      <c r="S82" s="14"/>
      <c r="T82" s="14"/>
      <c r="U82" s="39"/>
      <c r="V82" s="14"/>
      <c r="W82" s="40"/>
      <c r="X82" s="41"/>
      <c r="Y82" s="42"/>
      <c r="Z82" s="14"/>
      <c r="AA82" s="14"/>
      <c r="AB82" s="14"/>
      <c r="AC82" s="39"/>
    </row>
    <row r="83" spans="1:29" ht="15.75" customHeight="1">
      <c r="A83" s="32"/>
      <c r="B83" s="30" t="s">
        <v>969</v>
      </c>
      <c r="C83" s="34"/>
      <c r="D83" s="363" t="s">
        <v>774</v>
      </c>
      <c r="E83" s="386"/>
      <c r="F83" s="200"/>
      <c r="G83" s="202"/>
      <c r="H83" s="201"/>
      <c r="I83" s="318">
        <f>SUM(I84:I85)</f>
        <v>5208300</v>
      </c>
      <c r="J83" s="210"/>
      <c r="K83" s="43"/>
      <c r="L83" s="14"/>
      <c r="M83" s="39"/>
      <c r="N83" s="14"/>
      <c r="O83" s="40"/>
      <c r="P83" s="41"/>
      <c r="Q83" s="42"/>
      <c r="R83" s="14"/>
      <c r="S83" s="14"/>
      <c r="T83" s="14"/>
      <c r="U83" s="39"/>
      <c r="V83" s="14"/>
      <c r="W83" s="40"/>
      <c r="X83" s="41"/>
      <c r="Y83" s="42"/>
      <c r="Z83" s="14"/>
      <c r="AA83" s="14"/>
      <c r="AB83" s="14"/>
      <c r="AC83" s="39"/>
    </row>
    <row r="84" spans="1:29" ht="30" customHeight="1">
      <c r="A84" s="32"/>
      <c r="B84" s="33" t="s">
        <v>971</v>
      </c>
      <c r="C84" s="34">
        <v>6077</v>
      </c>
      <c r="D84" s="361" t="s">
        <v>956</v>
      </c>
      <c r="E84" s="362"/>
      <c r="F84" s="35" t="s">
        <v>501</v>
      </c>
      <c r="G84" s="36">
        <f>'MEMORIA DE CALCULO'!Q85</f>
        <v>108125</v>
      </c>
      <c r="H84" s="37">
        <f>COMPOSIÇÕES!L522</f>
        <v>45.36</v>
      </c>
      <c r="I84" s="316">
        <f t="shared" ref="I84" si="4">ROUND(G84*H84,2)</f>
        <v>4904550</v>
      </c>
      <c r="J84" s="258"/>
      <c r="K84" s="43"/>
      <c r="L84" s="14"/>
      <c r="M84" s="39"/>
      <c r="N84" s="14"/>
      <c r="O84" s="40"/>
      <c r="P84" s="41"/>
      <c r="Q84" s="42"/>
      <c r="R84" s="14"/>
      <c r="S84" s="14"/>
      <c r="T84" s="14"/>
      <c r="U84" s="39"/>
      <c r="V84" s="14"/>
      <c r="W84" s="40"/>
      <c r="X84" s="41"/>
      <c r="Y84" s="42"/>
      <c r="Z84" s="14"/>
      <c r="AA84" s="14"/>
      <c r="AB84" s="14"/>
      <c r="AC84" s="39"/>
    </row>
    <row r="85" spans="1:29" ht="40.5" customHeight="1">
      <c r="A85" s="32"/>
      <c r="B85" s="33" t="s">
        <v>974</v>
      </c>
      <c r="C85" s="34">
        <v>4746</v>
      </c>
      <c r="D85" s="361" t="s">
        <v>776</v>
      </c>
      <c r="E85" s="362"/>
      <c r="F85" s="35" t="s">
        <v>501</v>
      </c>
      <c r="G85" s="36">
        <f>'MEMORIA DE CALCULO'!Q86</f>
        <v>5000</v>
      </c>
      <c r="H85" s="37">
        <f>COMPOSIÇÕES!L525</f>
        <v>60.75</v>
      </c>
      <c r="I85" s="316">
        <f>ROUND(G85*H85,2)</f>
        <v>303750</v>
      </c>
      <c r="J85" s="210"/>
      <c r="K85" s="43"/>
      <c r="L85" s="14"/>
      <c r="M85" s="39"/>
      <c r="N85" s="14"/>
      <c r="O85" s="40"/>
      <c r="P85" s="41"/>
      <c r="Q85" s="42"/>
      <c r="R85" s="14"/>
      <c r="S85" s="14"/>
      <c r="T85" s="14"/>
      <c r="U85" s="39"/>
      <c r="V85" s="14"/>
      <c r="W85" s="40"/>
      <c r="X85" s="41"/>
      <c r="Y85" s="42"/>
      <c r="Z85" s="14"/>
      <c r="AA85" s="14"/>
      <c r="AB85" s="14"/>
      <c r="AC85" s="39"/>
    </row>
    <row r="86" spans="1:29" ht="15.75" customHeight="1">
      <c r="A86" s="32"/>
      <c r="B86" s="30" t="s">
        <v>1166</v>
      </c>
      <c r="C86" s="34"/>
      <c r="D86" s="363" t="s">
        <v>970</v>
      </c>
      <c r="E86" s="386"/>
      <c r="F86" s="200"/>
      <c r="G86" s="202"/>
      <c r="H86" s="201"/>
      <c r="I86" s="318">
        <f>SUM(I87:I89)</f>
        <v>230090</v>
      </c>
      <c r="J86" s="14"/>
      <c r="K86" s="14"/>
      <c r="L86" s="14"/>
      <c r="M86" s="39"/>
      <c r="N86" s="14"/>
      <c r="O86" s="40"/>
      <c r="P86" s="41"/>
      <c r="Q86" s="42"/>
      <c r="R86" s="14"/>
      <c r="S86" s="14"/>
      <c r="T86" s="14"/>
      <c r="U86" s="39"/>
      <c r="V86" s="14"/>
      <c r="W86" s="40"/>
      <c r="X86" s="41"/>
      <c r="Y86" s="42"/>
      <c r="Z86" s="14"/>
      <c r="AA86" s="14"/>
      <c r="AB86" s="14"/>
      <c r="AC86" s="39"/>
    </row>
    <row r="87" spans="1:29" ht="54" customHeight="1">
      <c r="A87" s="32"/>
      <c r="B87" s="33" t="s">
        <v>1192</v>
      </c>
      <c r="C87" s="34" t="s">
        <v>972</v>
      </c>
      <c r="D87" s="361" t="s">
        <v>973</v>
      </c>
      <c r="E87" s="362"/>
      <c r="F87" s="257" t="s">
        <v>487</v>
      </c>
      <c r="G87" s="36">
        <f>'MEMORIA DE CALCULO'!Q88</f>
        <v>20000</v>
      </c>
      <c r="H87" s="37">
        <f>COMPOSIÇÕES!L538</f>
        <v>0.25000000000000006</v>
      </c>
      <c r="I87" s="316">
        <f>ROUND(G87*H87,2)</f>
        <v>5000</v>
      </c>
      <c r="J87" s="14"/>
      <c r="K87" s="14"/>
      <c r="L87" s="14"/>
      <c r="M87" s="39"/>
      <c r="N87" s="14"/>
      <c r="O87" s="40"/>
      <c r="P87" s="41"/>
      <c r="Q87" s="42"/>
      <c r="R87" s="14"/>
      <c r="S87" s="14"/>
      <c r="T87" s="14"/>
      <c r="U87" s="39"/>
      <c r="V87" s="14"/>
      <c r="W87" s="40"/>
      <c r="X87" s="41"/>
      <c r="Y87" s="42"/>
      <c r="Z87" s="14"/>
      <c r="AA87" s="14"/>
      <c r="AB87" s="14"/>
      <c r="AC87" s="39"/>
    </row>
    <row r="88" spans="1:29" ht="52.5" customHeight="1">
      <c r="A88" s="32"/>
      <c r="B88" s="33" t="s">
        <v>1193</v>
      </c>
      <c r="C88" s="34" t="s">
        <v>975</v>
      </c>
      <c r="D88" s="361" t="s">
        <v>976</v>
      </c>
      <c r="E88" s="362"/>
      <c r="F88" s="257" t="s">
        <v>487</v>
      </c>
      <c r="G88" s="36">
        <f>'MEMORIA DE CALCULO'!Q89</f>
        <v>20000</v>
      </c>
      <c r="H88" s="37">
        <f>COMPOSIÇÕES!L547</f>
        <v>10.77</v>
      </c>
      <c r="I88" s="316">
        <f>ROUND(G88*H88,2)</f>
        <v>215400</v>
      </c>
      <c r="J88" s="14"/>
      <c r="K88" s="14"/>
      <c r="L88" s="14"/>
      <c r="M88" s="39"/>
      <c r="N88" s="14"/>
      <c r="O88" s="40"/>
      <c r="P88" s="41"/>
      <c r="Q88" s="42"/>
      <c r="R88" s="14"/>
      <c r="S88" s="14"/>
      <c r="T88" s="14"/>
      <c r="U88" s="39"/>
      <c r="V88" s="14"/>
      <c r="W88" s="40"/>
      <c r="X88" s="41"/>
      <c r="Y88" s="42"/>
      <c r="Z88" s="14"/>
      <c r="AA88" s="14"/>
      <c r="AB88" s="14"/>
      <c r="AC88" s="39"/>
    </row>
    <row r="89" spans="1:29" ht="45" customHeight="1">
      <c r="A89" s="32"/>
      <c r="B89" s="33" t="s">
        <v>1194</v>
      </c>
      <c r="C89" s="34" t="s">
        <v>1004</v>
      </c>
      <c r="D89" s="361" t="s">
        <v>1005</v>
      </c>
      <c r="E89" s="362"/>
      <c r="F89" s="257" t="s">
        <v>1006</v>
      </c>
      <c r="G89" s="36">
        <f>'MEMORIA DE CALCULO'!Q90</f>
        <v>1000</v>
      </c>
      <c r="H89" s="37">
        <f>COMPOSIÇÕES!L556</f>
        <v>9.69</v>
      </c>
      <c r="I89" s="316">
        <f>ROUND(G89*H89,2)</f>
        <v>9690</v>
      </c>
      <c r="J89" s="14"/>
      <c r="K89" s="14"/>
      <c r="L89" s="14"/>
      <c r="M89" s="39"/>
      <c r="N89" s="14"/>
      <c r="O89" s="40"/>
      <c r="P89" s="41"/>
      <c r="Q89" s="42"/>
      <c r="R89" s="14"/>
      <c r="S89" s="14"/>
      <c r="T89" s="14"/>
      <c r="U89" s="39"/>
      <c r="V89" s="14"/>
      <c r="W89" s="40"/>
      <c r="X89" s="41"/>
      <c r="Y89" s="42"/>
      <c r="Z89" s="14"/>
      <c r="AA89" s="14"/>
      <c r="AB89" s="14"/>
      <c r="AC89" s="39"/>
    </row>
    <row r="90" spans="1:29" ht="15" customHeight="1">
      <c r="A90" s="32"/>
      <c r="B90" s="251"/>
      <c r="C90" s="252"/>
      <c r="D90" s="253"/>
      <c r="E90" s="310"/>
      <c r="F90" s="252"/>
      <c r="G90" s="254"/>
      <c r="H90" s="255"/>
      <c r="I90" s="319"/>
      <c r="J90" s="162"/>
      <c r="K90" s="161"/>
      <c r="L90" s="16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ht="27" customHeight="1">
      <c r="A91" s="29"/>
      <c r="B91" s="384" t="s">
        <v>502</v>
      </c>
      <c r="C91" s="385"/>
      <c r="D91" s="385"/>
      <c r="E91" s="385"/>
      <c r="F91" s="385"/>
      <c r="G91" s="385"/>
      <c r="H91" s="374"/>
      <c r="I91" s="44">
        <f>I11+I20+I57+I72+I83+I86</f>
        <v>12897734.67</v>
      </c>
      <c r="J91" s="45"/>
      <c r="K91" s="297"/>
      <c r="L91" s="46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ht="16.5" customHeight="1">
      <c r="A92" s="11"/>
      <c r="B92" s="14"/>
      <c r="C92" s="14"/>
      <c r="D92" s="14"/>
      <c r="E92" s="14"/>
      <c r="F92" s="14"/>
      <c r="G92" s="14"/>
      <c r="H92" s="47"/>
      <c r="I92" s="47"/>
      <c r="J92" s="48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ht="30" customHeight="1">
      <c r="I93" s="320"/>
    </row>
    <row r="94" spans="1:29" ht="30" customHeight="1">
      <c r="I94" s="158"/>
    </row>
    <row r="95" spans="1:29" ht="30" customHeight="1">
      <c r="I95" s="256"/>
    </row>
    <row r="96" spans="1:29" ht="30" customHeight="1">
      <c r="I96" s="156"/>
    </row>
    <row r="97" spans="9:9" ht="15" customHeight="1">
      <c r="I97" s="158"/>
    </row>
    <row r="98" spans="9:9" ht="15" customHeight="1">
      <c r="I98" s="158"/>
    </row>
  </sheetData>
  <mergeCells count="85">
    <mergeCell ref="B91:H91"/>
    <mergeCell ref="D75:E75"/>
    <mergeCell ref="D76:E76"/>
    <mergeCell ref="D77:E77"/>
    <mergeCell ref="D88:E88"/>
    <mergeCell ref="D87:E87"/>
    <mergeCell ref="D86:E86"/>
    <mergeCell ref="D78:E78"/>
    <mergeCell ref="D79:E79"/>
    <mergeCell ref="D80:E80"/>
    <mergeCell ref="D83:E83"/>
    <mergeCell ref="D84:E84"/>
    <mergeCell ref="D85:E85"/>
    <mergeCell ref="D89:E89"/>
    <mergeCell ref="D81:E81"/>
    <mergeCell ref="D82:E82"/>
    <mergeCell ref="D62:E62"/>
    <mergeCell ref="D59:E59"/>
    <mergeCell ref="D64:E64"/>
    <mergeCell ref="D58:E58"/>
    <mergeCell ref="D40:E40"/>
    <mergeCell ref="D41:E41"/>
    <mergeCell ref="D42:E42"/>
    <mergeCell ref="D43:E43"/>
    <mergeCell ref="D52:E52"/>
    <mergeCell ref="D53:E53"/>
    <mergeCell ref="D74:E74"/>
    <mergeCell ref="D73:E73"/>
    <mergeCell ref="D33:E33"/>
    <mergeCell ref="D66:E66"/>
    <mergeCell ref="D63:E63"/>
    <mergeCell ref="D45:E45"/>
    <mergeCell ref="D46:E46"/>
    <mergeCell ref="D47:E47"/>
    <mergeCell ref="D55:E55"/>
    <mergeCell ref="D56:E56"/>
    <mergeCell ref="D48:E48"/>
    <mergeCell ref="D49:E49"/>
    <mergeCell ref="D50:E50"/>
    <mergeCell ref="D51:E51"/>
    <mergeCell ref="D54:E54"/>
    <mergeCell ref="D61:E61"/>
    <mergeCell ref="D2:G4"/>
    <mergeCell ref="D68:E68"/>
    <mergeCell ref="D69:E69"/>
    <mergeCell ref="D70:E70"/>
    <mergeCell ref="D71:E71"/>
    <mergeCell ref="D65:E65"/>
    <mergeCell ref="D67:E67"/>
    <mergeCell ref="D35:E35"/>
    <mergeCell ref="D36:E36"/>
    <mergeCell ref="D37:E37"/>
    <mergeCell ref="D38:E38"/>
    <mergeCell ref="D44:E44"/>
    <mergeCell ref="D29:E29"/>
    <mergeCell ref="D57:H57"/>
    <mergeCell ref="D30:E30"/>
    <mergeCell ref="D32:E32"/>
    <mergeCell ref="B2:C8"/>
    <mergeCell ref="H2:I8"/>
    <mergeCell ref="D60:E60"/>
    <mergeCell ref="D8:E8"/>
    <mergeCell ref="D10:E10"/>
    <mergeCell ref="D20:H20"/>
    <mergeCell ref="D21:E21"/>
    <mergeCell ref="B9:I9"/>
    <mergeCell ref="D28:E28"/>
    <mergeCell ref="D26:E26"/>
    <mergeCell ref="D27:E27"/>
    <mergeCell ref="D22:E22"/>
    <mergeCell ref="D23:E23"/>
    <mergeCell ref="D24:E24"/>
    <mergeCell ref="D25:E25"/>
    <mergeCell ref="D34:E34"/>
    <mergeCell ref="D12:E12"/>
    <mergeCell ref="D13:E13"/>
    <mergeCell ref="D14:E14"/>
    <mergeCell ref="D15:E15"/>
    <mergeCell ref="D11:H11"/>
    <mergeCell ref="D16:E16"/>
    <mergeCell ref="D17:E17"/>
    <mergeCell ref="D18:E18"/>
    <mergeCell ref="D19:E19"/>
    <mergeCell ref="D39:E39"/>
    <mergeCell ref="D31:E31"/>
  </mergeCells>
  <printOptions horizontalCentered="1"/>
  <pageMargins left="0.98425196850393704" right="0.59055118110236227" top="0.78740157480314965" bottom="0.78740157480314965" header="0" footer="0"/>
  <pageSetup paperSize="9" scale="3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showGridLines="0" zoomScale="80" zoomScaleNormal="80" workbookViewId="0">
      <pane xSplit="1" ySplit="11" topLeftCell="B18" activePane="bottomRight" state="frozen"/>
      <selection activeCell="D33" sqref="D33:E33"/>
      <selection pane="topRight" activeCell="D33" sqref="D33:E33"/>
      <selection pane="bottomLeft" activeCell="D33" sqref="D33:E33"/>
      <selection pane="bottomRight" activeCell="Q25" sqref="Q25"/>
    </sheetView>
  </sheetViews>
  <sheetFormatPr defaultColWidth="14.42578125" defaultRowHeight="15" customHeight="1"/>
  <cols>
    <col min="1" max="1" width="9.42578125" customWidth="1"/>
    <col min="2" max="2" width="7.5703125" customWidth="1"/>
    <col min="3" max="3" width="17.5703125" customWidth="1"/>
    <col min="4" max="4" width="13.5703125" customWidth="1"/>
    <col min="5" max="5" width="47.5703125" customWidth="1"/>
    <col min="6" max="6" width="7.42578125" customWidth="1"/>
    <col min="7" max="7" width="9.42578125" customWidth="1"/>
    <col min="8" max="8" width="12" customWidth="1"/>
    <col min="9" max="10" width="9.42578125" customWidth="1"/>
    <col min="11" max="11" width="11.5703125" customWidth="1"/>
    <col min="12" max="12" width="10.42578125" customWidth="1"/>
    <col min="13" max="13" width="11.7109375" customWidth="1"/>
    <col min="14" max="14" width="11.28515625" customWidth="1"/>
    <col min="15" max="15" width="12.85546875" customWidth="1"/>
    <col min="16" max="17" width="14.42578125" customWidth="1"/>
    <col min="18" max="18" width="12.42578125" customWidth="1"/>
    <col min="19" max="19" width="14.7109375" customWidth="1"/>
    <col min="20" max="36" width="9.42578125" customWidth="1"/>
  </cols>
  <sheetData>
    <row r="1" spans="1:36" ht="12.75" customHeight="1" thickBo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15" customHeight="1">
      <c r="A2" s="56"/>
      <c r="B2" s="436"/>
      <c r="C2" s="418"/>
      <c r="D2" s="437" t="s">
        <v>508</v>
      </c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418"/>
      <c r="P2" s="432"/>
      <c r="Q2" s="36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customHeight="1">
      <c r="A3" s="56"/>
      <c r="B3" s="368"/>
      <c r="C3" s="421"/>
      <c r="D3" s="433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21"/>
      <c r="P3" s="433"/>
      <c r="Q3" s="369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36" ht="15.75" customHeight="1">
      <c r="A4" s="56"/>
      <c r="B4" s="368"/>
      <c r="C4" s="421"/>
      <c r="D4" s="405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3"/>
      <c r="P4" s="433"/>
      <c r="Q4" s="369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6" ht="21" customHeight="1">
      <c r="A5" s="56"/>
      <c r="B5" s="368"/>
      <c r="C5" s="421"/>
      <c r="D5" s="59" t="s">
        <v>463</v>
      </c>
      <c r="E5" s="415" t="str">
        <f>'PLANILHA ORÇAMENTÁRIA'!E5</f>
        <v>EXECUÇÃO DE MANUTENÇÃO CONTÍNUA PREVENTIVA E CORRETIVA DAS VIAS VICINAIS E RURAIS</v>
      </c>
      <c r="F5" s="440"/>
      <c r="G5" s="440"/>
      <c r="H5" s="440"/>
      <c r="I5" s="440"/>
      <c r="J5" s="441"/>
      <c r="K5" s="165" t="s">
        <v>503</v>
      </c>
      <c r="L5" s="209"/>
      <c r="M5" s="177"/>
      <c r="N5" s="204"/>
      <c r="O5" s="60">
        <f>'PLANILHA ORÇAMENTÁRIA'!G5</f>
        <v>0.47699999999999998</v>
      </c>
      <c r="P5" s="433"/>
      <c r="Q5" s="369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 ht="15" customHeight="1">
      <c r="A6" s="56"/>
      <c r="B6" s="368"/>
      <c r="C6" s="421"/>
      <c r="D6" s="59" t="s">
        <v>465</v>
      </c>
      <c r="E6" s="415" t="str">
        <f>'PLANILHA ORÇAMENTÁRIA'!E6</f>
        <v>SANTO ANTÔNIO DOS LOPES - MA</v>
      </c>
      <c r="F6" s="440"/>
      <c r="G6" s="440"/>
      <c r="H6" s="440"/>
      <c r="I6" s="440"/>
      <c r="J6" s="441"/>
      <c r="K6" s="165" t="s">
        <v>467</v>
      </c>
      <c r="L6" s="209"/>
      <c r="M6" s="177"/>
      <c r="N6" s="204"/>
      <c r="O6" s="60">
        <f>'PLANILHA ORÇAMENTÁRIA'!G6</f>
        <v>0.84609999999999996</v>
      </c>
      <c r="P6" s="433"/>
      <c r="Q6" s="369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</row>
    <row r="7" spans="1:36" ht="15" customHeight="1">
      <c r="A7" s="56"/>
      <c r="B7" s="368"/>
      <c r="C7" s="421"/>
      <c r="D7" s="59" t="s">
        <v>468</v>
      </c>
      <c r="E7" s="415" t="str">
        <f>'PLANILHA ORÇAMENTÁRIA'!E7</f>
        <v>DIVERSOS POVOADOS DO MUNICÍPIO DE SANTO ANTÔNIO DOS LOPES - MA</v>
      </c>
      <c r="F7" s="440"/>
      <c r="G7" s="440"/>
      <c r="H7" s="440"/>
      <c r="I7" s="440"/>
      <c r="J7" s="441"/>
      <c r="K7" s="165" t="s">
        <v>469</v>
      </c>
      <c r="L7" s="209"/>
      <c r="M7" s="177"/>
      <c r="N7" s="204"/>
      <c r="O7" s="61">
        <f>'PLANILHA ORÇAMENTÁRIA'!G7</f>
        <v>45078</v>
      </c>
      <c r="P7" s="433"/>
      <c r="Q7" s="369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 ht="15.75" customHeight="1">
      <c r="A8" s="56"/>
      <c r="B8" s="402"/>
      <c r="C8" s="403"/>
      <c r="D8" s="439"/>
      <c r="E8" s="364"/>
      <c r="F8" s="365"/>
      <c r="G8" s="165"/>
      <c r="H8" s="209"/>
      <c r="I8" s="209"/>
      <c r="J8" s="209"/>
      <c r="K8" s="165" t="s">
        <v>470</v>
      </c>
      <c r="L8" s="209"/>
      <c r="M8" s="177"/>
      <c r="N8" s="204"/>
      <c r="O8" s="62">
        <f>'PLANILHA ORÇAMENTÁRIA'!G8</f>
        <v>0.24229999999999999</v>
      </c>
      <c r="P8" s="405"/>
      <c r="Q8" s="388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 ht="15" customHeight="1">
      <c r="A9" s="56"/>
      <c r="B9" s="431" t="s">
        <v>509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9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 ht="15.75" customHeight="1">
      <c r="A10" s="56"/>
      <c r="B10" s="402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388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 ht="15" customHeight="1">
      <c r="A11" s="56"/>
      <c r="B11" s="434" t="s">
        <v>472</v>
      </c>
      <c r="C11" s="365"/>
      <c r="D11" s="435" t="s">
        <v>474</v>
      </c>
      <c r="E11" s="365"/>
      <c r="F11" s="63" t="s">
        <v>475</v>
      </c>
      <c r="G11" s="64" t="s">
        <v>476</v>
      </c>
      <c r="H11" s="64" t="s">
        <v>664</v>
      </c>
      <c r="I11" s="64" t="s">
        <v>661</v>
      </c>
      <c r="J11" s="64" t="s">
        <v>662</v>
      </c>
      <c r="K11" s="64" t="s">
        <v>663</v>
      </c>
      <c r="L11" s="64" t="s">
        <v>665</v>
      </c>
      <c r="M11" s="64" t="s">
        <v>510</v>
      </c>
      <c r="N11" s="64" t="s">
        <v>511</v>
      </c>
      <c r="O11" s="64" t="s">
        <v>512</v>
      </c>
      <c r="P11" s="65" t="s">
        <v>513</v>
      </c>
      <c r="Q11" s="66" t="s">
        <v>478</v>
      </c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 ht="15" customHeight="1">
      <c r="A12" s="56"/>
      <c r="B12" s="442" t="s">
        <v>479</v>
      </c>
      <c r="C12" s="443"/>
      <c r="D12" s="427" t="s">
        <v>1121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428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6" ht="27.75" customHeight="1">
      <c r="A13" s="56"/>
      <c r="B13" s="422" t="s">
        <v>480</v>
      </c>
      <c r="C13" s="423" t="s">
        <v>480</v>
      </c>
      <c r="D13" s="415" t="s">
        <v>1110</v>
      </c>
      <c r="E13" s="365"/>
      <c r="F13" s="68" t="s">
        <v>528</v>
      </c>
      <c r="G13" s="69">
        <v>1</v>
      </c>
      <c r="H13" s="69"/>
      <c r="I13" s="69">
        <v>4</v>
      </c>
      <c r="J13" s="69">
        <v>12</v>
      </c>
      <c r="K13" s="69">
        <v>12</v>
      </c>
      <c r="L13" s="69"/>
      <c r="M13" s="69"/>
      <c r="N13" s="69"/>
      <c r="O13" s="69"/>
      <c r="P13" s="70"/>
      <c r="Q13" s="71">
        <f>G13*I13*J13*K13</f>
        <v>576</v>
      </c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</row>
    <row r="14" spans="1:36" ht="21" customHeight="1">
      <c r="A14" s="56"/>
      <c r="B14" s="422" t="s">
        <v>482</v>
      </c>
      <c r="C14" s="423" t="s">
        <v>482</v>
      </c>
      <c r="D14" s="415" t="s">
        <v>1111</v>
      </c>
      <c r="E14" s="365"/>
      <c r="F14" s="68" t="s">
        <v>528</v>
      </c>
      <c r="G14" s="69">
        <v>1</v>
      </c>
      <c r="H14" s="69"/>
      <c r="I14" s="69">
        <v>8</v>
      </c>
      <c r="J14" s="69">
        <v>22</v>
      </c>
      <c r="K14" s="69">
        <v>12</v>
      </c>
      <c r="L14" s="69"/>
      <c r="M14" s="69"/>
      <c r="N14" s="69"/>
      <c r="O14" s="69"/>
      <c r="P14" s="70"/>
      <c r="Q14" s="71">
        <f t="shared" ref="Q14:Q16" si="0">G14*I14*J14*K14</f>
        <v>2112</v>
      </c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</row>
    <row r="15" spans="1:36" ht="29.25" customHeight="1">
      <c r="A15" s="56"/>
      <c r="B15" s="422" t="s">
        <v>483</v>
      </c>
      <c r="C15" s="423" t="s">
        <v>483</v>
      </c>
      <c r="D15" s="415" t="s">
        <v>1112</v>
      </c>
      <c r="E15" s="365"/>
      <c r="F15" s="68" t="s">
        <v>528</v>
      </c>
      <c r="G15" s="69">
        <v>1</v>
      </c>
      <c r="H15" s="69"/>
      <c r="I15" s="69">
        <v>8</v>
      </c>
      <c r="J15" s="69">
        <v>22</v>
      </c>
      <c r="K15" s="69">
        <v>12</v>
      </c>
      <c r="L15" s="69"/>
      <c r="M15" s="69"/>
      <c r="N15" s="69"/>
      <c r="O15" s="69"/>
      <c r="P15" s="70"/>
      <c r="Q15" s="71">
        <f t="shared" si="0"/>
        <v>2112</v>
      </c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</row>
    <row r="16" spans="1:36" ht="21" customHeight="1">
      <c r="A16" s="56"/>
      <c r="B16" s="422" t="s">
        <v>485</v>
      </c>
      <c r="C16" s="423" t="s">
        <v>485</v>
      </c>
      <c r="D16" s="415" t="s">
        <v>1132</v>
      </c>
      <c r="E16" s="365"/>
      <c r="F16" s="68" t="s">
        <v>528</v>
      </c>
      <c r="G16" s="69">
        <v>1</v>
      </c>
      <c r="H16" s="69"/>
      <c r="I16" s="69">
        <v>8</v>
      </c>
      <c r="J16" s="69">
        <v>22</v>
      </c>
      <c r="K16" s="69">
        <v>12</v>
      </c>
      <c r="L16" s="69"/>
      <c r="M16" s="69"/>
      <c r="N16" s="69"/>
      <c r="O16" s="69"/>
      <c r="P16" s="70"/>
      <c r="Q16" s="71">
        <f t="shared" si="0"/>
        <v>2112</v>
      </c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</row>
    <row r="17" spans="1:36" ht="19.5" customHeight="1">
      <c r="A17" s="56"/>
      <c r="B17" s="422" t="s">
        <v>660</v>
      </c>
      <c r="C17" s="423" t="s">
        <v>660</v>
      </c>
      <c r="D17" s="415" t="s">
        <v>1114</v>
      </c>
      <c r="E17" s="365"/>
      <c r="F17" s="68" t="s">
        <v>487</v>
      </c>
      <c r="G17" s="69"/>
      <c r="H17" s="69"/>
      <c r="I17" s="69"/>
      <c r="J17" s="69"/>
      <c r="K17" s="69"/>
      <c r="L17" s="69"/>
      <c r="M17" s="69">
        <v>100</v>
      </c>
      <c r="N17" s="69"/>
      <c r="O17" s="69">
        <v>2.2000000000000002</v>
      </c>
      <c r="P17" s="70"/>
      <c r="Q17" s="71">
        <f>M17*O17</f>
        <v>220.00000000000003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 ht="36" customHeight="1">
      <c r="A18" s="56"/>
      <c r="B18" s="422" t="s">
        <v>683</v>
      </c>
      <c r="C18" s="423"/>
      <c r="D18" s="415" t="s">
        <v>1116</v>
      </c>
      <c r="E18" s="365"/>
      <c r="F18" s="68" t="s">
        <v>487</v>
      </c>
      <c r="G18" s="69"/>
      <c r="H18" s="69"/>
      <c r="I18" s="69"/>
      <c r="J18" s="69"/>
      <c r="K18" s="69"/>
      <c r="L18" s="69"/>
      <c r="M18" s="69">
        <v>500</v>
      </c>
      <c r="N18" s="69"/>
      <c r="O18" s="69">
        <v>1.1000000000000001</v>
      </c>
      <c r="P18" s="70"/>
      <c r="Q18" s="71">
        <f>M18*O18</f>
        <v>550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</row>
    <row r="19" spans="1:36" ht="27.75" customHeight="1">
      <c r="A19" s="56"/>
      <c r="B19" s="422" t="s">
        <v>692</v>
      </c>
      <c r="C19" s="423"/>
      <c r="D19" s="415" t="s">
        <v>1118</v>
      </c>
      <c r="E19" s="365"/>
      <c r="F19" s="68" t="s">
        <v>979</v>
      </c>
      <c r="G19" s="69">
        <v>1</v>
      </c>
      <c r="H19" s="69"/>
      <c r="I19" s="69"/>
      <c r="J19" s="69"/>
      <c r="K19" s="69">
        <v>12</v>
      </c>
      <c r="L19" s="69"/>
      <c r="M19" s="69"/>
      <c r="N19" s="69"/>
      <c r="O19" s="69"/>
      <c r="P19" s="70"/>
      <c r="Q19" s="71">
        <f>G19*K19</f>
        <v>12</v>
      </c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</row>
    <row r="20" spans="1:36" ht="20.25" customHeight="1">
      <c r="A20" s="56"/>
      <c r="B20" s="422" t="s">
        <v>693</v>
      </c>
      <c r="C20" s="423"/>
      <c r="D20" s="415" t="s">
        <v>1120</v>
      </c>
      <c r="E20" s="365"/>
      <c r="F20" s="68" t="s">
        <v>487</v>
      </c>
      <c r="G20" s="69">
        <v>20</v>
      </c>
      <c r="H20" s="69"/>
      <c r="I20" s="69"/>
      <c r="J20" s="69"/>
      <c r="K20" s="69"/>
      <c r="L20" s="69"/>
      <c r="M20" s="69"/>
      <c r="N20" s="69"/>
      <c r="O20" s="69"/>
      <c r="P20" s="70">
        <v>2.88</v>
      </c>
      <c r="Q20" s="71">
        <f>G20*P20</f>
        <v>57.599999999999994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15" customHeight="1">
      <c r="A21" s="56"/>
      <c r="B21" s="442" t="s">
        <v>488</v>
      </c>
      <c r="C21" s="443" t="s">
        <v>488</v>
      </c>
      <c r="D21" s="427" t="s">
        <v>680</v>
      </c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428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32.25" customHeight="1">
      <c r="A22" s="56"/>
      <c r="B22" s="422" t="s">
        <v>489</v>
      </c>
      <c r="C22" s="423" t="s">
        <v>489</v>
      </c>
      <c r="D22" s="415" t="s">
        <v>1013</v>
      </c>
      <c r="E22" s="365"/>
      <c r="F22" s="68" t="s">
        <v>486</v>
      </c>
      <c r="G22" s="69">
        <v>12</v>
      </c>
      <c r="H22" s="69"/>
      <c r="I22" s="69"/>
      <c r="J22" s="69"/>
      <c r="K22" s="69"/>
      <c r="L22" s="69"/>
      <c r="M22" s="69">
        <v>8</v>
      </c>
      <c r="N22" s="69"/>
      <c r="O22" s="69"/>
      <c r="P22" s="70"/>
      <c r="Q22" s="71">
        <f>G22*M22</f>
        <v>96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1:36" ht="37.5" customHeight="1">
      <c r="A23" s="56"/>
      <c r="B23" s="422" t="s">
        <v>491</v>
      </c>
      <c r="C23" s="423" t="s">
        <v>491</v>
      </c>
      <c r="D23" s="415" t="s">
        <v>1017</v>
      </c>
      <c r="E23" s="365"/>
      <c r="F23" s="68" t="s">
        <v>486</v>
      </c>
      <c r="G23" s="69">
        <v>12</v>
      </c>
      <c r="H23" s="69"/>
      <c r="I23" s="69"/>
      <c r="J23" s="69"/>
      <c r="K23" s="69"/>
      <c r="L23" s="69"/>
      <c r="M23" s="69">
        <v>8</v>
      </c>
      <c r="N23" s="69"/>
      <c r="O23" s="69"/>
      <c r="P23" s="70"/>
      <c r="Q23" s="71">
        <f>G23*M23</f>
        <v>96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</row>
    <row r="24" spans="1:36" ht="36" customHeight="1">
      <c r="A24" s="56"/>
      <c r="B24" s="422" t="s">
        <v>492</v>
      </c>
      <c r="C24" s="423" t="s">
        <v>492</v>
      </c>
      <c r="D24" s="415" t="s">
        <v>1021</v>
      </c>
      <c r="E24" s="365"/>
      <c r="F24" s="68" t="s">
        <v>486</v>
      </c>
      <c r="G24" s="69">
        <v>12</v>
      </c>
      <c r="H24" s="69"/>
      <c r="I24" s="69"/>
      <c r="J24" s="69"/>
      <c r="K24" s="69"/>
      <c r="L24" s="69"/>
      <c r="M24" s="69">
        <v>8</v>
      </c>
      <c r="N24" s="69"/>
      <c r="O24" s="69"/>
      <c r="P24" s="70"/>
      <c r="Q24" s="71">
        <f>G24*M24</f>
        <v>96</v>
      </c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1:36" ht="33.75" customHeight="1">
      <c r="A25" s="56"/>
      <c r="B25" s="422" t="s">
        <v>651</v>
      </c>
      <c r="C25" s="423" t="s">
        <v>651</v>
      </c>
      <c r="D25" s="415" t="s">
        <v>1023</v>
      </c>
      <c r="E25" s="365"/>
      <c r="F25" s="68" t="s">
        <v>486</v>
      </c>
      <c r="G25" s="69">
        <v>12</v>
      </c>
      <c r="H25" s="69"/>
      <c r="I25" s="69"/>
      <c r="J25" s="69"/>
      <c r="K25" s="69"/>
      <c r="L25" s="69"/>
      <c r="M25" s="69">
        <v>8</v>
      </c>
      <c r="N25" s="69"/>
      <c r="O25" s="69"/>
      <c r="P25" s="70"/>
      <c r="Q25" s="71">
        <f>G25*M25</f>
        <v>96</v>
      </c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</row>
    <row r="26" spans="1:36" ht="27" customHeight="1">
      <c r="A26" s="56"/>
      <c r="B26" s="422" t="s">
        <v>652</v>
      </c>
      <c r="C26" s="423" t="s">
        <v>652</v>
      </c>
      <c r="D26" s="415" t="s">
        <v>685</v>
      </c>
      <c r="E26" s="365"/>
      <c r="F26" s="68" t="s">
        <v>490</v>
      </c>
      <c r="G26" s="69"/>
      <c r="H26" s="69"/>
      <c r="I26" s="69"/>
      <c r="J26" s="69"/>
      <c r="K26" s="69"/>
      <c r="L26" s="69"/>
      <c r="M26" s="69">
        <v>600</v>
      </c>
      <c r="N26" s="69"/>
      <c r="O26" s="69">
        <v>0.05</v>
      </c>
      <c r="P26" s="70"/>
      <c r="Q26" s="71">
        <f>M26*O26</f>
        <v>30</v>
      </c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ht="15" customHeight="1">
      <c r="A27" s="67"/>
      <c r="B27" s="422" t="s">
        <v>653</v>
      </c>
      <c r="C27" s="423" t="s">
        <v>653</v>
      </c>
      <c r="D27" s="415" t="s">
        <v>687</v>
      </c>
      <c r="E27" s="365"/>
      <c r="F27" s="68" t="s">
        <v>490</v>
      </c>
      <c r="G27" s="69"/>
      <c r="H27" s="69"/>
      <c r="I27" s="69"/>
      <c r="J27" s="69"/>
      <c r="K27" s="69"/>
      <c r="L27" s="69"/>
      <c r="M27" s="69"/>
      <c r="N27" s="69"/>
      <c r="O27" s="69">
        <v>1</v>
      </c>
      <c r="P27" s="70">
        <v>35</v>
      </c>
      <c r="Q27" s="71">
        <f>O27*P27</f>
        <v>35</v>
      </c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</row>
    <row r="28" spans="1:36" ht="45" customHeight="1">
      <c r="A28" s="67"/>
      <c r="B28" s="422" t="s">
        <v>654</v>
      </c>
      <c r="C28" s="423" t="s">
        <v>654</v>
      </c>
      <c r="D28" s="415" t="s">
        <v>688</v>
      </c>
      <c r="E28" s="365"/>
      <c r="F28" s="68" t="s">
        <v>490</v>
      </c>
      <c r="G28" s="69"/>
      <c r="H28" s="69"/>
      <c r="I28" s="69"/>
      <c r="J28" s="69"/>
      <c r="K28" s="69"/>
      <c r="L28" s="69"/>
      <c r="M28" s="69"/>
      <c r="N28" s="69"/>
      <c r="O28" s="69">
        <v>1</v>
      </c>
      <c r="P28" s="70">
        <v>35</v>
      </c>
      <c r="Q28" s="71">
        <f>O28*P28</f>
        <v>35</v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</row>
    <row r="29" spans="1:36" ht="49.5" customHeight="1">
      <c r="A29" s="67"/>
      <c r="B29" s="422" t="s">
        <v>655</v>
      </c>
      <c r="C29" s="423" t="s">
        <v>655</v>
      </c>
      <c r="D29" s="415" t="s">
        <v>689</v>
      </c>
      <c r="E29" s="365"/>
      <c r="F29" s="68" t="s">
        <v>490</v>
      </c>
      <c r="G29" s="69"/>
      <c r="H29" s="69"/>
      <c r="I29" s="69"/>
      <c r="J29" s="69"/>
      <c r="K29" s="69"/>
      <c r="L29" s="69"/>
      <c r="M29" s="69"/>
      <c r="N29" s="69"/>
      <c r="O29" s="69">
        <v>1</v>
      </c>
      <c r="P29" s="70">
        <v>25</v>
      </c>
      <c r="Q29" s="71">
        <f>O29*P29</f>
        <v>25</v>
      </c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</row>
    <row r="30" spans="1:36" ht="48" customHeight="1">
      <c r="A30" s="67"/>
      <c r="B30" s="422" t="s">
        <v>656</v>
      </c>
      <c r="C30" s="423" t="s">
        <v>656</v>
      </c>
      <c r="D30" s="415" t="s">
        <v>690</v>
      </c>
      <c r="E30" s="365"/>
      <c r="F30" s="68" t="s">
        <v>481</v>
      </c>
      <c r="G30" s="69">
        <v>12</v>
      </c>
      <c r="H30" s="69"/>
      <c r="I30" s="69"/>
      <c r="J30" s="69"/>
      <c r="K30" s="69"/>
      <c r="L30" s="69"/>
      <c r="M30" s="69">
        <v>2</v>
      </c>
      <c r="N30" s="69"/>
      <c r="O30" s="69"/>
      <c r="P30" s="70"/>
      <c r="Q30" s="71">
        <f>G30*M30</f>
        <v>24</v>
      </c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1:36" ht="47.25" customHeight="1">
      <c r="A31" s="67"/>
      <c r="B31" s="422" t="s">
        <v>963</v>
      </c>
      <c r="C31" s="423" t="s">
        <v>963</v>
      </c>
      <c r="D31" s="415" t="s">
        <v>691</v>
      </c>
      <c r="E31" s="365"/>
      <c r="F31" s="68" t="s">
        <v>481</v>
      </c>
      <c r="G31" s="69">
        <v>12</v>
      </c>
      <c r="H31" s="69"/>
      <c r="I31" s="69"/>
      <c r="J31" s="69"/>
      <c r="K31" s="69"/>
      <c r="L31" s="69"/>
      <c r="M31" s="69">
        <v>2</v>
      </c>
      <c r="N31" s="69"/>
      <c r="O31" s="69"/>
      <c r="P31" s="70"/>
      <c r="Q31" s="71">
        <f t="shared" ref="Q31:Q33" si="1">G31*M31</f>
        <v>24</v>
      </c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</row>
    <row r="32" spans="1:36" ht="40.5" customHeight="1">
      <c r="A32" s="67"/>
      <c r="B32" s="422" t="s">
        <v>964</v>
      </c>
      <c r="C32" s="423" t="s">
        <v>964</v>
      </c>
      <c r="D32" s="415" t="s">
        <v>694</v>
      </c>
      <c r="E32" s="365"/>
      <c r="F32" s="68" t="s">
        <v>481</v>
      </c>
      <c r="G32" s="69">
        <v>12</v>
      </c>
      <c r="H32" s="69"/>
      <c r="I32" s="69"/>
      <c r="J32" s="69"/>
      <c r="K32" s="69"/>
      <c r="L32" s="69"/>
      <c r="M32" s="69">
        <v>2</v>
      </c>
      <c r="N32" s="69"/>
      <c r="O32" s="69"/>
      <c r="P32" s="70"/>
      <c r="Q32" s="71">
        <f t="shared" si="1"/>
        <v>24</v>
      </c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1:36" ht="49.5" customHeight="1">
      <c r="A33" s="67"/>
      <c r="B33" s="422" t="s">
        <v>965</v>
      </c>
      <c r="C33" s="423" t="s">
        <v>965</v>
      </c>
      <c r="D33" s="415" t="s">
        <v>695</v>
      </c>
      <c r="E33" s="365"/>
      <c r="F33" s="68" t="s">
        <v>475</v>
      </c>
      <c r="G33" s="69">
        <v>12</v>
      </c>
      <c r="H33" s="69"/>
      <c r="I33" s="69"/>
      <c r="J33" s="69"/>
      <c r="K33" s="69"/>
      <c r="L33" s="69"/>
      <c r="M33" s="69">
        <v>2</v>
      </c>
      <c r="N33" s="69"/>
      <c r="O33" s="69"/>
      <c r="P33" s="70"/>
      <c r="Q33" s="71">
        <f t="shared" si="1"/>
        <v>24</v>
      </c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</row>
    <row r="34" spans="1:36" ht="33.75" customHeight="1">
      <c r="A34" s="67"/>
      <c r="B34" s="422" t="s">
        <v>966</v>
      </c>
      <c r="C34" s="423" t="s">
        <v>966</v>
      </c>
      <c r="D34" s="415" t="s">
        <v>794</v>
      </c>
      <c r="E34" s="365"/>
      <c r="F34" s="68" t="s">
        <v>486</v>
      </c>
      <c r="G34" s="69">
        <v>2</v>
      </c>
      <c r="H34" s="69"/>
      <c r="I34" s="69"/>
      <c r="J34" s="69"/>
      <c r="K34" s="69"/>
      <c r="L34" s="69"/>
      <c r="M34" s="69">
        <f>259300/250*2</f>
        <v>2074.4</v>
      </c>
      <c r="N34" s="69"/>
      <c r="O34" s="69"/>
      <c r="P34" s="70"/>
      <c r="Q34" s="71">
        <f>+G34*M34</f>
        <v>4148.8</v>
      </c>
      <c r="R34" s="67"/>
      <c r="S34" s="245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</row>
    <row r="35" spans="1:36" ht="33.75" customHeight="1">
      <c r="A35" s="67"/>
      <c r="B35" s="422" t="s">
        <v>967</v>
      </c>
      <c r="C35" s="423" t="s">
        <v>967</v>
      </c>
      <c r="D35" s="415" t="s">
        <v>808</v>
      </c>
      <c r="E35" s="365"/>
      <c r="F35" s="68" t="s">
        <v>486</v>
      </c>
      <c r="G35" s="69"/>
      <c r="H35" s="69"/>
      <c r="I35" s="69"/>
      <c r="J35" s="69"/>
      <c r="K35" s="69"/>
      <c r="L35" s="69"/>
      <c r="M35" s="69">
        <v>15</v>
      </c>
      <c r="N35" s="69"/>
      <c r="O35" s="69"/>
      <c r="P35" s="70"/>
      <c r="Q35" s="71">
        <f t="shared" ref="Q35:Q48" si="2">M35</f>
        <v>15</v>
      </c>
      <c r="R35" s="67"/>
      <c r="S35" s="245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</row>
    <row r="36" spans="1:36" ht="33.75" customHeight="1">
      <c r="A36" s="67"/>
      <c r="B36" s="422" t="s">
        <v>1167</v>
      </c>
      <c r="C36" s="423" t="s">
        <v>1167</v>
      </c>
      <c r="D36" s="415" t="s">
        <v>820</v>
      </c>
      <c r="E36" s="365"/>
      <c r="F36" s="68" t="s">
        <v>486</v>
      </c>
      <c r="G36" s="69"/>
      <c r="H36" s="69"/>
      <c r="I36" s="69"/>
      <c r="J36" s="69"/>
      <c r="K36" s="69"/>
      <c r="L36" s="69"/>
      <c r="M36" s="69">
        <v>10</v>
      </c>
      <c r="N36" s="69"/>
      <c r="O36" s="69"/>
      <c r="P36" s="70"/>
      <c r="Q36" s="71">
        <f t="shared" si="2"/>
        <v>10</v>
      </c>
      <c r="R36" s="67"/>
      <c r="S36" s="245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</row>
    <row r="37" spans="1:36" ht="33.75" customHeight="1">
      <c r="A37" s="67"/>
      <c r="B37" s="422" t="s">
        <v>1168</v>
      </c>
      <c r="C37" s="423" t="s">
        <v>1168</v>
      </c>
      <c r="D37" s="415" t="s">
        <v>823</v>
      </c>
      <c r="E37" s="365"/>
      <c r="F37" s="68" t="s">
        <v>486</v>
      </c>
      <c r="G37" s="69"/>
      <c r="H37" s="69"/>
      <c r="I37" s="69"/>
      <c r="J37" s="69"/>
      <c r="K37" s="69"/>
      <c r="L37" s="69"/>
      <c r="M37" s="69">
        <v>3.5</v>
      </c>
      <c r="N37" s="69"/>
      <c r="O37" s="69"/>
      <c r="P37" s="70"/>
      <c r="Q37" s="71">
        <f t="shared" si="2"/>
        <v>3.5</v>
      </c>
      <c r="R37" s="67"/>
      <c r="S37" s="245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 ht="33.75" customHeight="1">
      <c r="A38" s="67"/>
      <c r="B38" s="422" t="s">
        <v>1169</v>
      </c>
      <c r="C38" s="423" t="s">
        <v>1169</v>
      </c>
      <c r="D38" s="415" t="s">
        <v>826</v>
      </c>
      <c r="E38" s="365"/>
      <c r="F38" s="68" t="s">
        <v>486</v>
      </c>
      <c r="G38" s="69"/>
      <c r="H38" s="69"/>
      <c r="I38" s="69"/>
      <c r="J38" s="69"/>
      <c r="K38" s="69"/>
      <c r="L38" s="69"/>
      <c r="M38" s="69">
        <v>10</v>
      </c>
      <c r="N38" s="69"/>
      <c r="O38" s="69"/>
      <c r="P38" s="70"/>
      <c r="Q38" s="71">
        <f t="shared" si="2"/>
        <v>10</v>
      </c>
      <c r="R38" s="67"/>
      <c r="S38" s="245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ht="33.75" customHeight="1">
      <c r="A39" s="67"/>
      <c r="B39" s="422" t="s">
        <v>1170</v>
      </c>
      <c r="C39" s="423" t="s">
        <v>1170</v>
      </c>
      <c r="D39" s="415" t="s">
        <v>828</v>
      </c>
      <c r="E39" s="365"/>
      <c r="F39" s="68" t="s">
        <v>486</v>
      </c>
      <c r="G39" s="69"/>
      <c r="H39" s="69"/>
      <c r="I39" s="69"/>
      <c r="J39" s="69"/>
      <c r="K39" s="69"/>
      <c r="L39" s="69"/>
      <c r="M39" s="69">
        <v>25</v>
      </c>
      <c r="N39" s="69"/>
      <c r="O39" s="69"/>
      <c r="P39" s="70"/>
      <c r="Q39" s="71">
        <f t="shared" si="2"/>
        <v>25</v>
      </c>
      <c r="R39" s="67"/>
      <c r="S39" s="245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  <row r="40" spans="1:36" ht="33.75" customHeight="1">
      <c r="A40" s="67"/>
      <c r="B40" s="422" t="s">
        <v>1171</v>
      </c>
      <c r="C40" s="423" t="s">
        <v>1171</v>
      </c>
      <c r="D40" s="415" t="s">
        <v>1201</v>
      </c>
      <c r="E40" s="365"/>
      <c r="F40" s="68" t="s">
        <v>481</v>
      </c>
      <c r="G40" s="69">
        <v>2</v>
      </c>
      <c r="H40" s="69"/>
      <c r="I40" s="69"/>
      <c r="J40" s="69"/>
      <c r="K40" s="69"/>
      <c r="L40" s="69"/>
      <c r="M40" s="69"/>
      <c r="N40" s="69"/>
      <c r="O40" s="69"/>
      <c r="P40" s="70"/>
      <c r="Q40" s="71">
        <f>G40</f>
        <v>2</v>
      </c>
      <c r="R40" s="67"/>
      <c r="S40" s="245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</row>
    <row r="41" spans="1:36" ht="33.75" customHeight="1">
      <c r="A41" s="67"/>
      <c r="B41" s="422" t="s">
        <v>1172</v>
      </c>
      <c r="C41" s="423" t="s">
        <v>1172</v>
      </c>
      <c r="D41" s="415" t="s">
        <v>847</v>
      </c>
      <c r="E41" s="365"/>
      <c r="F41" s="68" t="s">
        <v>481</v>
      </c>
      <c r="G41" s="69">
        <v>2</v>
      </c>
      <c r="H41" s="69"/>
      <c r="I41" s="69"/>
      <c r="J41" s="69"/>
      <c r="K41" s="69"/>
      <c r="L41" s="69"/>
      <c r="M41" s="69"/>
      <c r="N41" s="69"/>
      <c r="O41" s="69"/>
      <c r="P41" s="70"/>
      <c r="Q41" s="71">
        <f>G41</f>
        <v>2</v>
      </c>
      <c r="R41" s="67"/>
      <c r="S41" s="245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</row>
    <row r="42" spans="1:36" ht="33.75" customHeight="1">
      <c r="A42" s="67"/>
      <c r="B42" s="422" t="s">
        <v>1173</v>
      </c>
      <c r="C42" s="423" t="s">
        <v>1173</v>
      </c>
      <c r="D42" s="415" t="s">
        <v>1202</v>
      </c>
      <c r="E42" s="365"/>
      <c r="F42" s="68" t="s">
        <v>481</v>
      </c>
      <c r="G42" s="69">
        <v>2</v>
      </c>
      <c r="H42" s="69"/>
      <c r="I42" s="69"/>
      <c r="J42" s="69"/>
      <c r="K42" s="69"/>
      <c r="L42" s="69"/>
      <c r="M42" s="69"/>
      <c r="N42" s="69"/>
      <c r="O42" s="69"/>
      <c r="P42" s="70"/>
      <c r="Q42" s="71">
        <f>G42</f>
        <v>2</v>
      </c>
      <c r="R42" s="67"/>
      <c r="S42" s="245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</row>
    <row r="43" spans="1:36" ht="33.75" customHeight="1">
      <c r="A43" s="67"/>
      <c r="B43" s="422" t="s">
        <v>1174</v>
      </c>
      <c r="C43" s="423" t="s">
        <v>1174</v>
      </c>
      <c r="D43" s="415" t="s">
        <v>1205</v>
      </c>
      <c r="E43" s="365"/>
      <c r="F43" s="68" t="s">
        <v>481</v>
      </c>
      <c r="G43" s="69">
        <v>2</v>
      </c>
      <c r="H43" s="69"/>
      <c r="I43" s="69"/>
      <c r="J43" s="69"/>
      <c r="K43" s="69"/>
      <c r="L43" s="69"/>
      <c r="M43" s="69"/>
      <c r="N43" s="69"/>
      <c r="O43" s="69"/>
      <c r="P43" s="70"/>
      <c r="Q43" s="71">
        <f>G43</f>
        <v>2</v>
      </c>
      <c r="R43" s="67"/>
      <c r="S43" s="245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33.75" customHeight="1">
      <c r="A44" s="67"/>
      <c r="B44" s="422" t="s">
        <v>1175</v>
      </c>
      <c r="C44" s="423" t="s">
        <v>1175</v>
      </c>
      <c r="D44" s="415" t="s">
        <v>1212</v>
      </c>
      <c r="E44" s="365"/>
      <c r="F44" s="68" t="s">
        <v>481</v>
      </c>
      <c r="G44" s="69">
        <v>2</v>
      </c>
      <c r="H44" s="69"/>
      <c r="I44" s="69"/>
      <c r="J44" s="69"/>
      <c r="K44" s="69"/>
      <c r="L44" s="69"/>
      <c r="M44" s="69"/>
      <c r="N44" s="69"/>
      <c r="O44" s="69"/>
      <c r="P44" s="70"/>
      <c r="Q44" s="71">
        <f>G44</f>
        <v>2</v>
      </c>
      <c r="R44" s="67"/>
      <c r="S44" s="245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ht="33.75" customHeight="1">
      <c r="A45" s="67"/>
      <c r="B45" s="422" t="s">
        <v>1176</v>
      </c>
      <c r="C45" s="423" t="s">
        <v>1176</v>
      </c>
      <c r="D45" s="415" t="s">
        <v>832</v>
      </c>
      <c r="E45" s="365"/>
      <c r="F45" s="68" t="s">
        <v>486</v>
      </c>
      <c r="G45" s="69"/>
      <c r="H45" s="69"/>
      <c r="I45" s="69"/>
      <c r="J45" s="69"/>
      <c r="K45" s="69"/>
      <c r="L45" s="69"/>
      <c r="M45" s="69">
        <v>9</v>
      </c>
      <c r="N45" s="69"/>
      <c r="O45" s="69"/>
      <c r="P45" s="70"/>
      <c r="Q45" s="71">
        <f t="shared" si="2"/>
        <v>9</v>
      </c>
      <c r="R45" s="67"/>
      <c r="S45" s="245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ht="33.75" customHeight="1">
      <c r="A46" s="67"/>
      <c r="B46" s="422" t="s">
        <v>1177</v>
      </c>
      <c r="C46" s="423" t="s">
        <v>1177</v>
      </c>
      <c r="D46" s="415" t="s">
        <v>847</v>
      </c>
      <c r="E46" s="365"/>
      <c r="F46" s="68" t="s">
        <v>481</v>
      </c>
      <c r="G46" s="69"/>
      <c r="H46" s="69"/>
      <c r="I46" s="69"/>
      <c r="J46" s="69"/>
      <c r="K46" s="69"/>
      <c r="L46" s="69"/>
      <c r="M46" s="69">
        <v>4</v>
      </c>
      <c r="N46" s="69"/>
      <c r="O46" s="69"/>
      <c r="P46" s="70"/>
      <c r="Q46" s="71">
        <f t="shared" si="2"/>
        <v>4</v>
      </c>
      <c r="R46" s="67"/>
      <c r="S46" s="245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</row>
    <row r="47" spans="1:36" ht="33.75" customHeight="1">
      <c r="A47" s="67"/>
      <c r="B47" s="422" t="s">
        <v>1178</v>
      </c>
      <c r="C47" s="423" t="s">
        <v>1178</v>
      </c>
      <c r="D47" s="415" t="s">
        <v>851</v>
      </c>
      <c r="E47" s="365"/>
      <c r="F47" s="68" t="s">
        <v>481</v>
      </c>
      <c r="G47" s="69"/>
      <c r="H47" s="69"/>
      <c r="I47" s="69"/>
      <c r="J47" s="69"/>
      <c r="K47" s="69"/>
      <c r="L47" s="69"/>
      <c r="M47" s="69">
        <v>4</v>
      </c>
      <c r="N47" s="69"/>
      <c r="O47" s="69"/>
      <c r="P47" s="70"/>
      <c r="Q47" s="71">
        <f t="shared" si="2"/>
        <v>4</v>
      </c>
      <c r="R47" s="67"/>
      <c r="S47" s="245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</row>
    <row r="48" spans="1:36" ht="33.75" customHeight="1">
      <c r="A48" s="67"/>
      <c r="B48" s="422" t="s">
        <v>1179</v>
      </c>
      <c r="C48" s="423" t="s">
        <v>1179</v>
      </c>
      <c r="D48" s="415" t="s">
        <v>858</v>
      </c>
      <c r="E48" s="365"/>
      <c r="F48" s="68" t="s">
        <v>486</v>
      </c>
      <c r="G48" s="69"/>
      <c r="H48" s="69"/>
      <c r="I48" s="69"/>
      <c r="J48" s="69"/>
      <c r="K48" s="69"/>
      <c r="L48" s="69"/>
      <c r="M48" s="69">
        <v>500</v>
      </c>
      <c r="N48" s="69"/>
      <c r="O48" s="69"/>
      <c r="P48" s="70"/>
      <c r="Q48" s="71">
        <f t="shared" si="2"/>
        <v>500</v>
      </c>
      <c r="R48" s="67"/>
      <c r="S48" s="245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  <row r="49" spans="1:36" ht="33.75" customHeight="1">
      <c r="A49" s="67"/>
      <c r="B49" s="422" t="s">
        <v>1180</v>
      </c>
      <c r="C49" s="423" t="s">
        <v>1180</v>
      </c>
      <c r="D49" s="415" t="s">
        <v>889</v>
      </c>
      <c r="E49" s="365"/>
      <c r="F49" s="68" t="s">
        <v>501</v>
      </c>
      <c r="G49" s="69"/>
      <c r="H49" s="69"/>
      <c r="I49" s="69"/>
      <c r="J49" s="69"/>
      <c r="K49" s="69"/>
      <c r="L49" s="69"/>
      <c r="M49" s="69">
        <v>25</v>
      </c>
      <c r="N49" s="69">
        <v>2</v>
      </c>
      <c r="O49" s="69">
        <v>2</v>
      </c>
      <c r="P49" s="70"/>
      <c r="Q49" s="71">
        <f>M49*N49*O49</f>
        <v>100</v>
      </c>
      <c r="R49" s="67"/>
      <c r="S49" s="245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</row>
    <row r="50" spans="1:36" ht="33.75" customHeight="1">
      <c r="A50" s="67"/>
      <c r="B50" s="422" t="s">
        <v>1181</v>
      </c>
      <c r="C50" s="423" t="s">
        <v>1181</v>
      </c>
      <c r="D50" s="415" t="s">
        <v>898</v>
      </c>
      <c r="E50" s="365"/>
      <c r="F50" s="68" t="s">
        <v>486</v>
      </c>
      <c r="G50" s="69"/>
      <c r="H50" s="69"/>
      <c r="I50" s="69"/>
      <c r="J50" s="69"/>
      <c r="K50" s="69"/>
      <c r="L50" s="69"/>
      <c r="M50" s="69">
        <v>14</v>
      </c>
      <c r="N50" s="69"/>
      <c r="O50" s="69"/>
      <c r="P50" s="70"/>
      <c r="Q50" s="71">
        <f>M50</f>
        <v>14</v>
      </c>
      <c r="R50" s="67"/>
      <c r="S50" s="245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</row>
    <row r="51" spans="1:36" ht="33.75" customHeight="1">
      <c r="A51" s="67"/>
      <c r="B51" s="422" t="s">
        <v>1213</v>
      </c>
      <c r="C51" s="423" t="s">
        <v>1213</v>
      </c>
      <c r="D51" s="415" t="s">
        <v>905</v>
      </c>
      <c r="E51" s="365"/>
      <c r="F51" s="68" t="s">
        <v>501</v>
      </c>
      <c r="G51" s="69"/>
      <c r="H51" s="69"/>
      <c r="I51" s="69"/>
      <c r="J51" s="69"/>
      <c r="K51" s="69"/>
      <c r="L51" s="69"/>
      <c r="M51" s="69">
        <v>571.42999999999995</v>
      </c>
      <c r="N51" s="69">
        <v>7</v>
      </c>
      <c r="O51" s="69">
        <v>0.1</v>
      </c>
      <c r="P51" s="70"/>
      <c r="Q51" s="71">
        <f>ROUND(M51*N51*O51,2)</f>
        <v>400</v>
      </c>
      <c r="R51" s="67"/>
      <c r="S51" s="245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</row>
    <row r="52" spans="1:36" ht="48" customHeight="1">
      <c r="A52" s="67"/>
      <c r="B52" s="422" t="s">
        <v>1214</v>
      </c>
      <c r="C52" s="423" t="s">
        <v>1214</v>
      </c>
      <c r="D52" s="415" t="s">
        <v>912</v>
      </c>
      <c r="E52" s="365"/>
      <c r="F52" s="68" t="s">
        <v>501</v>
      </c>
      <c r="G52" s="69"/>
      <c r="H52" s="69"/>
      <c r="I52" s="69"/>
      <c r="J52" s="69"/>
      <c r="K52" s="69"/>
      <c r="L52" s="69"/>
      <c r="M52" s="69">
        <v>285.70999999999998</v>
      </c>
      <c r="N52" s="69">
        <v>7</v>
      </c>
      <c r="O52" s="69">
        <v>0.1</v>
      </c>
      <c r="P52" s="70"/>
      <c r="Q52" s="71">
        <f>ROUND(M52*N52*O52,2)</f>
        <v>200</v>
      </c>
      <c r="R52" s="67"/>
      <c r="S52" s="245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</row>
    <row r="53" spans="1:36" ht="37.5" customHeight="1">
      <c r="A53" s="67"/>
      <c r="B53" s="422" t="s">
        <v>1215</v>
      </c>
      <c r="C53" s="423" t="s">
        <v>1215</v>
      </c>
      <c r="D53" s="415" t="s">
        <v>1238</v>
      </c>
      <c r="E53" s="365"/>
      <c r="F53" s="68" t="s">
        <v>486</v>
      </c>
      <c r="G53" s="69"/>
      <c r="H53" s="69"/>
      <c r="I53" s="69"/>
      <c r="J53" s="69"/>
      <c r="K53" s="69"/>
      <c r="L53" s="69"/>
      <c r="M53" s="69">
        <v>24</v>
      </c>
      <c r="N53" s="69"/>
      <c r="O53" s="69"/>
      <c r="P53" s="70"/>
      <c r="Q53" s="71">
        <f t="shared" ref="Q53:Q54" si="3">M53</f>
        <v>24</v>
      </c>
      <c r="R53" s="67"/>
      <c r="S53" s="245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</row>
    <row r="54" spans="1:36" ht="37.5" customHeight="1">
      <c r="A54" s="67"/>
      <c r="B54" s="422" t="s">
        <v>1216</v>
      </c>
      <c r="C54" s="423" t="s">
        <v>1216</v>
      </c>
      <c r="D54" s="415" t="s">
        <v>1240</v>
      </c>
      <c r="E54" s="365"/>
      <c r="F54" s="68" t="s">
        <v>486</v>
      </c>
      <c r="G54" s="69"/>
      <c r="H54" s="69"/>
      <c r="I54" s="69"/>
      <c r="J54" s="69"/>
      <c r="K54" s="69"/>
      <c r="L54" s="69"/>
      <c r="M54" s="69">
        <v>24</v>
      </c>
      <c r="N54" s="69"/>
      <c r="O54" s="69"/>
      <c r="P54" s="70"/>
      <c r="Q54" s="71">
        <f t="shared" si="3"/>
        <v>24</v>
      </c>
      <c r="R54" s="67"/>
      <c r="S54" s="245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</row>
    <row r="55" spans="1:36" ht="33.75" customHeight="1">
      <c r="A55" s="67"/>
      <c r="B55" s="422" t="s">
        <v>1217</v>
      </c>
      <c r="C55" s="423" t="s">
        <v>1217</v>
      </c>
      <c r="D55" s="415" t="s">
        <v>918</v>
      </c>
      <c r="E55" s="365"/>
      <c r="F55" s="68" t="s">
        <v>486</v>
      </c>
      <c r="G55" s="69"/>
      <c r="H55" s="69"/>
      <c r="I55" s="69"/>
      <c r="J55" s="69"/>
      <c r="K55" s="69"/>
      <c r="L55" s="69"/>
      <c r="M55" s="69">
        <v>24</v>
      </c>
      <c r="N55" s="69"/>
      <c r="O55" s="69"/>
      <c r="P55" s="70"/>
      <c r="Q55" s="71">
        <f>M55</f>
        <v>24</v>
      </c>
      <c r="R55" s="67"/>
      <c r="S55" s="245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</row>
    <row r="56" spans="1:36" ht="33.75" customHeight="1">
      <c r="A56" s="67"/>
      <c r="B56" s="422" t="s">
        <v>1235</v>
      </c>
      <c r="C56" s="423" t="s">
        <v>1216</v>
      </c>
      <c r="D56" s="415" t="s">
        <v>923</v>
      </c>
      <c r="E56" s="365"/>
      <c r="F56" s="68" t="s">
        <v>487</v>
      </c>
      <c r="G56" s="69"/>
      <c r="H56" s="69"/>
      <c r="I56" s="69"/>
      <c r="J56" s="69"/>
      <c r="K56" s="69"/>
      <c r="L56" s="69"/>
      <c r="M56" s="69">
        <v>10</v>
      </c>
      <c r="N56" s="69">
        <v>300</v>
      </c>
      <c r="O56" s="69"/>
      <c r="P56" s="70"/>
      <c r="Q56" s="71">
        <f>M56*N56</f>
        <v>3000</v>
      </c>
      <c r="R56" s="67"/>
      <c r="S56" s="245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</row>
    <row r="57" spans="1:36" ht="33.75" customHeight="1">
      <c r="A57" s="67"/>
      <c r="B57" s="422" t="s">
        <v>1236</v>
      </c>
      <c r="C57" s="423" t="s">
        <v>1217</v>
      </c>
      <c r="D57" s="415" t="s">
        <v>932</v>
      </c>
      <c r="E57" s="365"/>
      <c r="F57" s="68" t="s">
        <v>501</v>
      </c>
      <c r="G57" s="69"/>
      <c r="H57" s="69"/>
      <c r="I57" s="69"/>
      <c r="J57" s="69"/>
      <c r="K57" s="69"/>
      <c r="L57" s="69"/>
      <c r="M57" s="69">
        <v>1000</v>
      </c>
      <c r="N57" s="69">
        <v>7</v>
      </c>
      <c r="O57" s="69">
        <v>0.1</v>
      </c>
      <c r="P57" s="70"/>
      <c r="Q57" s="71">
        <f>M57*N57*O57</f>
        <v>700</v>
      </c>
      <c r="R57" s="67"/>
      <c r="S57" s="245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</row>
    <row r="58" spans="1:36" ht="15" customHeight="1">
      <c r="A58" s="67"/>
      <c r="B58" s="442" t="s">
        <v>493</v>
      </c>
      <c r="C58" s="443" t="s">
        <v>493</v>
      </c>
      <c r="D58" s="427" t="s">
        <v>696</v>
      </c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428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</row>
    <row r="59" spans="1:36" ht="45" customHeight="1">
      <c r="A59" s="67"/>
      <c r="B59" s="422" t="s">
        <v>514</v>
      </c>
      <c r="C59" s="423" t="s">
        <v>514</v>
      </c>
      <c r="D59" s="415" t="s">
        <v>803</v>
      </c>
      <c r="E59" s="365"/>
      <c r="F59" s="68" t="s">
        <v>487</v>
      </c>
      <c r="G59" s="69"/>
      <c r="H59" s="69"/>
      <c r="I59" s="69"/>
      <c r="J59" s="69"/>
      <c r="K59" s="69"/>
      <c r="L59" s="69"/>
      <c r="M59" s="69">
        <v>259315</v>
      </c>
      <c r="N59" s="69">
        <v>3</v>
      </c>
      <c r="O59" s="69"/>
      <c r="P59" s="70"/>
      <c r="Q59" s="71">
        <f>M59*N59</f>
        <v>777945</v>
      </c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</row>
    <row r="60" spans="1:36" ht="72.75" customHeight="1">
      <c r="A60" s="67"/>
      <c r="B60" s="422" t="s">
        <v>515</v>
      </c>
      <c r="C60" s="423" t="s">
        <v>515</v>
      </c>
      <c r="D60" s="415" t="s">
        <v>697</v>
      </c>
      <c r="E60" s="365"/>
      <c r="F60" s="68" t="s">
        <v>490</v>
      </c>
      <c r="G60" s="69"/>
      <c r="H60" s="69"/>
      <c r="I60" s="69"/>
      <c r="J60" s="69"/>
      <c r="K60" s="69"/>
      <c r="L60" s="69">
        <v>1.25</v>
      </c>
      <c r="M60" s="69">
        <v>384</v>
      </c>
      <c r="N60" s="69">
        <v>1.5</v>
      </c>
      <c r="O60" s="69">
        <v>1</v>
      </c>
      <c r="P60" s="70"/>
      <c r="Q60" s="71">
        <f>L60*M60*N60*O60</f>
        <v>720</v>
      </c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</row>
    <row r="61" spans="1:36" ht="68.25" customHeight="1">
      <c r="A61" s="67"/>
      <c r="B61" s="422" t="s">
        <v>516</v>
      </c>
      <c r="C61" s="423" t="s">
        <v>516</v>
      </c>
      <c r="D61" s="415" t="s">
        <v>698</v>
      </c>
      <c r="E61" s="365"/>
      <c r="F61" s="68" t="s">
        <v>490</v>
      </c>
      <c r="G61" s="69"/>
      <c r="H61" s="69"/>
      <c r="I61" s="69"/>
      <c r="J61" s="69"/>
      <c r="K61" s="69"/>
      <c r="L61" s="69">
        <v>1.25</v>
      </c>
      <c r="M61" s="69">
        <v>384</v>
      </c>
      <c r="N61" s="69">
        <v>1.5</v>
      </c>
      <c r="O61" s="69">
        <v>1</v>
      </c>
      <c r="P61" s="70"/>
      <c r="Q61" s="71">
        <f>L61*M61*N61*O61</f>
        <v>720</v>
      </c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</row>
    <row r="62" spans="1:36" ht="32.25" customHeight="1">
      <c r="A62" s="67"/>
      <c r="B62" s="422" t="s">
        <v>669</v>
      </c>
      <c r="C62" s="423" t="s">
        <v>669</v>
      </c>
      <c r="D62" s="415" t="s">
        <v>699</v>
      </c>
      <c r="E62" s="365"/>
      <c r="F62" s="68" t="s">
        <v>490</v>
      </c>
      <c r="G62" s="69"/>
      <c r="H62" s="69"/>
      <c r="I62" s="69"/>
      <c r="J62" s="69"/>
      <c r="K62" s="69"/>
      <c r="L62" s="69"/>
      <c r="M62" s="69">
        <v>5000</v>
      </c>
      <c r="N62" s="69">
        <v>1</v>
      </c>
      <c r="O62" s="69">
        <v>3</v>
      </c>
      <c r="P62" s="70"/>
      <c r="Q62" s="71">
        <f>M62*N62*O62</f>
        <v>15000</v>
      </c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</row>
    <row r="63" spans="1:36" ht="30" customHeight="1">
      <c r="A63" s="67"/>
      <c r="B63" s="422" t="s">
        <v>670</v>
      </c>
      <c r="C63" s="423" t="s">
        <v>670</v>
      </c>
      <c r="D63" s="415" t="s">
        <v>1106</v>
      </c>
      <c r="E63" s="365"/>
      <c r="F63" s="68" t="s">
        <v>490</v>
      </c>
      <c r="G63" s="69"/>
      <c r="H63" s="69"/>
      <c r="I63" s="69"/>
      <c r="J63" s="69"/>
      <c r="K63" s="69"/>
      <c r="L63" s="69">
        <v>1.25</v>
      </c>
      <c r="M63" s="69">
        <v>173000</v>
      </c>
      <c r="N63" s="69">
        <v>5</v>
      </c>
      <c r="O63" s="69">
        <v>0.1</v>
      </c>
      <c r="P63" s="70"/>
      <c r="Q63" s="71">
        <f>L63*M63*N63*O63</f>
        <v>108125</v>
      </c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</row>
    <row r="64" spans="1:36" ht="47.25" customHeight="1">
      <c r="A64" s="67"/>
      <c r="B64" s="422" t="s">
        <v>878</v>
      </c>
      <c r="C64" s="423" t="s">
        <v>878</v>
      </c>
      <c r="D64" s="415" t="s">
        <v>958</v>
      </c>
      <c r="E64" s="365"/>
      <c r="F64" s="68" t="s">
        <v>659</v>
      </c>
      <c r="G64" s="69"/>
      <c r="H64" s="69">
        <v>89960</v>
      </c>
      <c r="I64" s="69"/>
      <c r="J64" s="69"/>
      <c r="K64" s="69"/>
      <c r="L64" s="69">
        <v>1600</v>
      </c>
      <c r="M64" s="69"/>
      <c r="N64" s="69"/>
      <c r="O64" s="69"/>
      <c r="P64" s="70"/>
      <c r="Q64" s="71">
        <f>H64*L64/1000</f>
        <v>143936</v>
      </c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</row>
    <row r="65" spans="1:36" ht="30" customHeight="1">
      <c r="A65" s="67"/>
      <c r="B65" s="422" t="s">
        <v>882</v>
      </c>
      <c r="C65" s="423" t="s">
        <v>882</v>
      </c>
      <c r="D65" s="415" t="s">
        <v>713</v>
      </c>
      <c r="E65" s="365"/>
      <c r="F65" s="68" t="s">
        <v>490</v>
      </c>
      <c r="G65" s="69"/>
      <c r="H65" s="69"/>
      <c r="I65" s="69"/>
      <c r="J65" s="69"/>
      <c r="K65" s="69"/>
      <c r="L65" s="69">
        <v>1.25</v>
      </c>
      <c r="M65" s="69">
        <v>173000</v>
      </c>
      <c r="N65" s="69">
        <v>5</v>
      </c>
      <c r="O65" s="69">
        <v>0.1</v>
      </c>
      <c r="P65" s="70"/>
      <c r="Q65" s="71">
        <f>L65*M65*N65*O65</f>
        <v>108125</v>
      </c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</row>
    <row r="66" spans="1:36" ht="30" customHeight="1">
      <c r="A66" s="67"/>
      <c r="B66" s="422" t="s">
        <v>884</v>
      </c>
      <c r="C66" s="423" t="s">
        <v>884</v>
      </c>
      <c r="D66" s="415" t="s">
        <v>790</v>
      </c>
      <c r="E66" s="365"/>
      <c r="F66" s="68" t="s">
        <v>788</v>
      </c>
      <c r="G66" s="69"/>
      <c r="H66" s="69">
        <f>112450-H67</f>
        <v>89960</v>
      </c>
      <c r="I66" s="69"/>
      <c r="J66" s="69"/>
      <c r="K66" s="69"/>
      <c r="L66" s="69">
        <v>10</v>
      </c>
      <c r="M66" s="69"/>
      <c r="N66" s="69"/>
      <c r="O66" s="69">
        <v>0.1</v>
      </c>
      <c r="P66" s="70"/>
      <c r="Q66" s="71">
        <f>H66*L66*O66</f>
        <v>89960</v>
      </c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</row>
    <row r="67" spans="1:36" ht="43.5" customHeight="1">
      <c r="A67" s="67"/>
      <c r="B67" s="422" t="s">
        <v>1182</v>
      </c>
      <c r="C67" s="423" t="s">
        <v>1182</v>
      </c>
      <c r="D67" s="415" t="s">
        <v>953</v>
      </c>
      <c r="E67" s="365"/>
      <c r="F67" s="68" t="s">
        <v>788</v>
      </c>
      <c r="G67" s="69"/>
      <c r="H67" s="69">
        <f>112450*20%</f>
        <v>22490</v>
      </c>
      <c r="I67" s="69"/>
      <c r="J67" s="69"/>
      <c r="K67" s="69"/>
      <c r="L67" s="69">
        <v>10</v>
      </c>
      <c r="M67" s="69"/>
      <c r="N67" s="69"/>
      <c r="O67" s="69">
        <v>0.1</v>
      </c>
      <c r="P67" s="70"/>
      <c r="Q67" s="71">
        <f>H67*L67*O67</f>
        <v>22490</v>
      </c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</row>
    <row r="68" spans="1:36" ht="71.25" customHeight="1">
      <c r="A68" s="67"/>
      <c r="B68" s="422" t="s">
        <v>1183</v>
      </c>
      <c r="C68" s="423" t="s">
        <v>1183</v>
      </c>
      <c r="D68" s="415" t="s">
        <v>710</v>
      </c>
      <c r="E68" s="365"/>
      <c r="F68" s="68" t="s">
        <v>490</v>
      </c>
      <c r="G68" s="69"/>
      <c r="H68" s="69"/>
      <c r="I68" s="69"/>
      <c r="J68" s="69"/>
      <c r="K68" s="69"/>
      <c r="L68" s="69">
        <v>1.25</v>
      </c>
      <c r="M68" s="69">
        <v>384</v>
      </c>
      <c r="N68" s="69">
        <v>1.5</v>
      </c>
      <c r="O68" s="69">
        <v>1</v>
      </c>
      <c r="P68" s="70"/>
      <c r="Q68" s="71">
        <f>L68*M68*N68*O68</f>
        <v>720</v>
      </c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</row>
    <row r="69" spans="1:36" ht="74.25" customHeight="1">
      <c r="A69" s="67"/>
      <c r="B69" s="422" t="s">
        <v>1184</v>
      </c>
      <c r="C69" s="423" t="s">
        <v>1184</v>
      </c>
      <c r="D69" s="415" t="s">
        <v>714</v>
      </c>
      <c r="E69" s="365"/>
      <c r="F69" s="68" t="s">
        <v>490</v>
      </c>
      <c r="G69" s="73"/>
      <c r="H69" s="73"/>
      <c r="I69" s="73"/>
      <c r="J69" s="73"/>
      <c r="K69" s="73"/>
      <c r="L69" s="69">
        <v>1.25</v>
      </c>
      <c r="M69" s="69">
        <v>384</v>
      </c>
      <c r="N69" s="69">
        <v>1.5</v>
      </c>
      <c r="O69" s="69">
        <v>1</v>
      </c>
      <c r="P69" s="70"/>
      <c r="Q69" s="71">
        <f>L69*M69*N69*O69</f>
        <v>720</v>
      </c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</row>
    <row r="70" spans="1:36" ht="30" customHeight="1">
      <c r="A70" s="67"/>
      <c r="B70" s="422" t="s">
        <v>1185</v>
      </c>
      <c r="C70" s="423" t="s">
        <v>1185</v>
      </c>
      <c r="D70" s="415" t="s">
        <v>1107</v>
      </c>
      <c r="E70" s="365"/>
      <c r="F70" s="68" t="s">
        <v>484</v>
      </c>
      <c r="G70" s="73"/>
      <c r="H70" s="73"/>
      <c r="I70" s="73"/>
      <c r="J70" s="73"/>
      <c r="K70" s="73"/>
      <c r="L70" s="73"/>
      <c r="M70" s="73">
        <v>173000</v>
      </c>
      <c r="N70" s="73">
        <v>5</v>
      </c>
      <c r="O70" s="73"/>
      <c r="P70" s="70"/>
      <c r="Q70" s="71">
        <f>M70*N70</f>
        <v>865000</v>
      </c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</row>
    <row r="71" spans="1:36" ht="30" customHeight="1">
      <c r="A71" s="67"/>
      <c r="B71" s="422" t="s">
        <v>1186</v>
      </c>
      <c r="C71" s="423" t="s">
        <v>1186</v>
      </c>
      <c r="D71" s="415" t="s">
        <v>1108</v>
      </c>
      <c r="E71" s="365"/>
      <c r="F71" s="68" t="s">
        <v>490</v>
      </c>
      <c r="G71" s="73"/>
      <c r="H71" s="73"/>
      <c r="I71" s="73"/>
      <c r="J71" s="73"/>
      <c r="K71" s="73"/>
      <c r="L71" s="73">
        <v>1.25</v>
      </c>
      <c r="M71" s="73">
        <v>173000</v>
      </c>
      <c r="N71" s="73">
        <v>5</v>
      </c>
      <c r="O71" s="73">
        <v>0.1</v>
      </c>
      <c r="P71" s="70"/>
      <c r="Q71" s="71">
        <f>L71*M71*N71*O71</f>
        <v>108125</v>
      </c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</row>
    <row r="72" spans="1:36" ht="30" customHeight="1">
      <c r="A72" s="67"/>
      <c r="B72" s="422" t="s">
        <v>1187</v>
      </c>
      <c r="C72" s="423" t="s">
        <v>1187</v>
      </c>
      <c r="D72" s="415" t="s">
        <v>1109</v>
      </c>
      <c r="E72" s="365"/>
      <c r="F72" s="68" t="s">
        <v>490</v>
      </c>
      <c r="G72" s="73"/>
      <c r="H72" s="73"/>
      <c r="I72" s="73"/>
      <c r="J72" s="73"/>
      <c r="K72" s="73"/>
      <c r="L72" s="73">
        <v>1.25</v>
      </c>
      <c r="M72" s="73">
        <v>173000</v>
      </c>
      <c r="N72" s="73">
        <v>5</v>
      </c>
      <c r="O72" s="73">
        <v>0.1</v>
      </c>
      <c r="P72" s="70"/>
      <c r="Q72" s="71">
        <f>L72*M72*N72*O72</f>
        <v>108125</v>
      </c>
      <c r="R72" s="57"/>
      <c r="S72" s="57"/>
      <c r="T72" s="74"/>
      <c r="U72" s="57"/>
      <c r="V72" s="75"/>
      <c r="W72" s="76"/>
      <c r="X72" s="77"/>
      <c r="Y72" s="57"/>
      <c r="Z72" s="57"/>
      <c r="AA72" s="57"/>
      <c r="AB72" s="74"/>
      <c r="AC72" s="57"/>
      <c r="AD72" s="75"/>
      <c r="AE72" s="76"/>
      <c r="AF72" s="77"/>
      <c r="AG72" s="57"/>
      <c r="AH72" s="57"/>
      <c r="AI72" s="57"/>
      <c r="AJ72" s="74"/>
    </row>
    <row r="73" spans="1:36" ht="20.25" customHeight="1">
      <c r="A73" s="67"/>
      <c r="B73" s="442" t="s">
        <v>494</v>
      </c>
      <c r="C73" s="443" t="s">
        <v>494</v>
      </c>
      <c r="D73" s="427" t="s">
        <v>736</v>
      </c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5"/>
      <c r="R73" s="57"/>
      <c r="S73" s="74"/>
      <c r="T73" s="57"/>
      <c r="U73" s="75"/>
      <c r="V73" s="76"/>
      <c r="W73" s="77"/>
      <c r="X73" s="57"/>
      <c r="Y73" s="57"/>
      <c r="Z73" s="57"/>
      <c r="AA73" s="74"/>
      <c r="AB73" s="57"/>
      <c r="AC73" s="75"/>
      <c r="AD73" s="76"/>
      <c r="AE73" s="77"/>
      <c r="AF73" s="57"/>
      <c r="AG73" s="57"/>
      <c r="AH73" s="57"/>
      <c r="AI73" s="74"/>
      <c r="AJ73" s="57"/>
    </row>
    <row r="74" spans="1:36" ht="33" customHeight="1">
      <c r="A74" s="67"/>
      <c r="B74" s="422" t="s">
        <v>495</v>
      </c>
      <c r="C74" s="423" t="s">
        <v>495</v>
      </c>
      <c r="D74" s="415" t="s">
        <v>737</v>
      </c>
      <c r="E74" s="365"/>
      <c r="F74" s="68" t="s">
        <v>487</v>
      </c>
      <c r="G74" s="73">
        <f>8*2</f>
        <v>16</v>
      </c>
      <c r="H74" s="206"/>
      <c r="I74" s="232"/>
      <c r="J74" s="69"/>
      <c r="K74" s="69"/>
      <c r="L74" s="69"/>
      <c r="M74" s="73">
        <v>8</v>
      </c>
      <c r="N74" s="73">
        <v>5</v>
      </c>
      <c r="O74" s="73"/>
      <c r="P74" s="70"/>
      <c r="Q74" s="71">
        <f>G74*M74*N74</f>
        <v>640</v>
      </c>
      <c r="R74" s="57"/>
      <c r="S74" s="74"/>
      <c r="T74" s="57"/>
      <c r="U74" s="75"/>
      <c r="V74" s="76"/>
      <c r="W74" s="77"/>
      <c r="X74" s="57"/>
      <c r="Y74" s="57"/>
      <c r="Z74" s="57"/>
      <c r="AA74" s="74"/>
      <c r="AB74" s="57"/>
      <c r="AC74" s="75"/>
      <c r="AD74" s="76"/>
      <c r="AE74" s="77"/>
      <c r="AF74" s="57"/>
      <c r="AG74" s="57"/>
      <c r="AH74" s="57"/>
      <c r="AI74" s="74"/>
      <c r="AJ74" s="57"/>
    </row>
    <row r="75" spans="1:36" ht="21.75" customHeight="1">
      <c r="A75" s="67"/>
      <c r="B75" s="422" t="s">
        <v>496</v>
      </c>
      <c r="C75" s="423" t="s">
        <v>496</v>
      </c>
      <c r="D75" s="415" t="s">
        <v>750</v>
      </c>
      <c r="E75" s="365"/>
      <c r="F75" s="68" t="s">
        <v>487</v>
      </c>
      <c r="G75" s="69">
        <v>8</v>
      </c>
      <c r="H75" s="69"/>
      <c r="I75" s="69"/>
      <c r="J75" s="69"/>
      <c r="K75" s="69"/>
      <c r="L75" s="69"/>
      <c r="M75" s="73"/>
      <c r="N75" s="73"/>
      <c r="O75" s="73"/>
      <c r="P75" s="70">
        <f>0.8*8*2</f>
        <v>12.8</v>
      </c>
      <c r="Q75" s="71">
        <f>G75*P75</f>
        <v>102.4</v>
      </c>
      <c r="R75" s="57"/>
      <c r="S75" s="74"/>
      <c r="T75" s="57"/>
      <c r="U75" s="75"/>
      <c r="V75" s="76"/>
      <c r="W75" s="77"/>
      <c r="X75" s="57"/>
      <c r="Y75" s="57"/>
      <c r="Z75" s="57"/>
      <c r="AA75" s="74"/>
      <c r="AB75" s="57"/>
      <c r="AC75" s="75"/>
      <c r="AD75" s="76"/>
      <c r="AE75" s="77"/>
      <c r="AF75" s="57"/>
      <c r="AG75" s="57"/>
      <c r="AH75" s="57"/>
      <c r="AI75" s="74"/>
      <c r="AJ75" s="57"/>
    </row>
    <row r="76" spans="1:36" ht="24.75" customHeight="1">
      <c r="A76" s="67"/>
      <c r="B76" s="422" t="s">
        <v>498</v>
      </c>
      <c r="C76" s="423" t="s">
        <v>498</v>
      </c>
      <c r="D76" s="415" t="s">
        <v>531</v>
      </c>
      <c r="E76" s="365"/>
      <c r="F76" s="235" t="s">
        <v>528</v>
      </c>
      <c r="G76" s="69">
        <v>2</v>
      </c>
      <c r="H76" s="69"/>
      <c r="I76" s="69">
        <v>220</v>
      </c>
      <c r="J76" s="69"/>
      <c r="K76" s="69">
        <v>6</v>
      </c>
      <c r="L76" s="69"/>
      <c r="M76" s="73"/>
      <c r="N76" s="73"/>
      <c r="O76" s="73"/>
      <c r="P76" s="70"/>
      <c r="Q76" s="71">
        <f>G76*I76*K76</f>
        <v>2640</v>
      </c>
      <c r="R76" s="72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</row>
    <row r="77" spans="1:36" ht="24.75" customHeight="1">
      <c r="A77" s="67"/>
      <c r="B77" s="422" t="s">
        <v>499</v>
      </c>
      <c r="C77" s="423" t="s">
        <v>499</v>
      </c>
      <c r="D77" s="415" t="s">
        <v>527</v>
      </c>
      <c r="E77" s="365"/>
      <c r="F77" s="235" t="s">
        <v>528</v>
      </c>
      <c r="G77" s="69">
        <v>1</v>
      </c>
      <c r="H77" s="69"/>
      <c r="I77" s="69">
        <v>220</v>
      </c>
      <c r="J77" s="69"/>
      <c r="K77" s="69">
        <v>6</v>
      </c>
      <c r="L77" s="69"/>
      <c r="M77" s="73"/>
      <c r="N77" s="73"/>
      <c r="O77" s="73"/>
      <c r="P77" s="70"/>
      <c r="Q77" s="71">
        <f>G77*I77*K77</f>
        <v>1320</v>
      </c>
      <c r="R77" s="72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6" ht="42.75" customHeight="1">
      <c r="A78" s="67"/>
      <c r="B78" s="422" t="s">
        <v>1188</v>
      </c>
      <c r="C78" s="423" t="s">
        <v>1188</v>
      </c>
      <c r="D78" s="415" t="s">
        <v>769</v>
      </c>
      <c r="E78" s="365"/>
      <c r="F78" s="235" t="s">
        <v>501</v>
      </c>
      <c r="G78" s="69">
        <v>8</v>
      </c>
      <c r="H78" s="69"/>
      <c r="I78" s="69"/>
      <c r="J78" s="69"/>
      <c r="K78" s="69"/>
      <c r="L78" s="69"/>
      <c r="M78" s="73">
        <v>5.9</v>
      </c>
      <c r="N78" s="73">
        <v>1.5</v>
      </c>
      <c r="O78" s="73">
        <v>0.4</v>
      </c>
      <c r="P78" s="70"/>
      <c r="Q78" s="71">
        <f>G78*M78*N78*O78</f>
        <v>28.320000000000007</v>
      </c>
      <c r="R78" s="72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6" ht="25.5" customHeight="1">
      <c r="A79" s="67"/>
      <c r="B79" s="422" t="s">
        <v>1189</v>
      </c>
      <c r="C79" s="423" t="s">
        <v>1189</v>
      </c>
      <c r="D79" s="415" t="s">
        <v>880</v>
      </c>
      <c r="E79" s="365"/>
      <c r="F79" s="235" t="s">
        <v>486</v>
      </c>
      <c r="G79" s="69">
        <v>168</v>
      </c>
      <c r="H79" s="69"/>
      <c r="I79" s="69"/>
      <c r="J79" s="69"/>
      <c r="K79" s="69"/>
      <c r="L79" s="69"/>
      <c r="M79" s="73">
        <v>0.3</v>
      </c>
      <c r="N79" s="73"/>
      <c r="O79" s="73"/>
      <c r="P79" s="70"/>
      <c r="Q79" s="71">
        <f>G79*M79</f>
        <v>50.4</v>
      </c>
      <c r="R79" s="72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6" ht="34.5" customHeight="1">
      <c r="A80" s="67"/>
      <c r="B80" s="422" t="s">
        <v>1190</v>
      </c>
      <c r="C80" s="423" t="s">
        <v>1190</v>
      </c>
      <c r="D80" s="415" t="s">
        <v>883</v>
      </c>
      <c r="E80" s="365"/>
      <c r="F80" s="235" t="s">
        <v>486</v>
      </c>
      <c r="G80" s="69">
        <v>8</v>
      </c>
      <c r="H80" s="69"/>
      <c r="I80" s="69"/>
      <c r="J80" s="69"/>
      <c r="K80" s="69"/>
      <c r="L80" s="69"/>
      <c r="M80" s="69">
        <f>8*17</f>
        <v>136</v>
      </c>
      <c r="N80" s="73"/>
      <c r="O80" s="73"/>
      <c r="P80" s="70"/>
      <c r="Q80" s="71">
        <f>G80*M80</f>
        <v>1088</v>
      </c>
      <c r="R80" s="72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1:36" ht="35.25" customHeight="1">
      <c r="A81" s="67"/>
      <c r="B81" s="422" t="s">
        <v>1191</v>
      </c>
      <c r="C81" s="423" t="s">
        <v>1191</v>
      </c>
      <c r="D81" s="415" t="s">
        <v>885</v>
      </c>
      <c r="E81" s="365"/>
      <c r="F81" s="235" t="s">
        <v>481</v>
      </c>
      <c r="G81" s="69">
        <v>0.39</v>
      </c>
      <c r="H81" s="69"/>
      <c r="I81" s="69"/>
      <c r="J81" s="69"/>
      <c r="K81" s="69"/>
      <c r="L81" s="69"/>
      <c r="M81" s="73"/>
      <c r="N81" s="73"/>
      <c r="O81" s="73"/>
      <c r="P81" s="70">
        <f>8*5*8</f>
        <v>320</v>
      </c>
      <c r="Q81" s="71">
        <f>G81*P81</f>
        <v>124.80000000000001</v>
      </c>
      <c r="R81" s="72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1:36" ht="35.25" customHeight="1">
      <c r="A82" s="67"/>
      <c r="B82" s="422" t="s">
        <v>1218</v>
      </c>
      <c r="C82" s="423"/>
      <c r="D82" s="415" t="s">
        <v>1222</v>
      </c>
      <c r="E82" s="365"/>
      <c r="F82" s="235" t="s">
        <v>501</v>
      </c>
      <c r="G82" s="69">
        <f>8*2</f>
        <v>16</v>
      </c>
      <c r="H82" s="69"/>
      <c r="I82" s="69"/>
      <c r="J82" s="69"/>
      <c r="K82" s="69"/>
      <c r="L82" s="69"/>
      <c r="M82" s="73">
        <f>5+2.78+2.78</f>
        <v>10.559999999999999</v>
      </c>
      <c r="N82" s="73">
        <v>1</v>
      </c>
      <c r="O82" s="73">
        <v>5</v>
      </c>
      <c r="P82" s="70"/>
      <c r="Q82" s="71">
        <f>ROUND(G82*M82*N82*O82,2)</f>
        <v>844.8</v>
      </c>
      <c r="R82" s="72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1:36" ht="35.25" customHeight="1">
      <c r="A83" s="67"/>
      <c r="B83" s="422" t="s">
        <v>1229</v>
      </c>
      <c r="C83" s="423"/>
      <c r="D83" s="415" t="s">
        <v>1232</v>
      </c>
      <c r="E83" s="365"/>
      <c r="F83" s="235" t="s">
        <v>501</v>
      </c>
      <c r="G83" s="69">
        <v>8</v>
      </c>
      <c r="H83" s="69">
        <f>0.2*0.2*8</f>
        <v>0.32000000000000006</v>
      </c>
      <c r="I83" s="69"/>
      <c r="J83" s="69"/>
      <c r="K83" s="69"/>
      <c r="L83" s="69"/>
      <c r="M83" s="73">
        <f>5+13.2</f>
        <v>18.2</v>
      </c>
      <c r="N83" s="73"/>
      <c r="O83" s="73"/>
      <c r="P83" s="70"/>
      <c r="Q83" s="71">
        <f>ROUND(G83*H83*M83,2)</f>
        <v>46.59</v>
      </c>
      <c r="R83" s="72"/>
      <c r="S83" s="299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1:36" ht="15" customHeight="1">
      <c r="B84" s="442" t="s">
        <v>969</v>
      </c>
      <c r="C84" s="443" t="s">
        <v>969</v>
      </c>
      <c r="D84" s="427" t="s">
        <v>774</v>
      </c>
      <c r="E84" s="446"/>
      <c r="F84" s="205"/>
      <c r="G84" s="73"/>
      <c r="H84" s="73"/>
      <c r="I84" s="73"/>
      <c r="J84" s="73"/>
      <c r="K84" s="73"/>
      <c r="L84" s="73"/>
      <c r="M84" s="73"/>
      <c r="N84" s="73"/>
      <c r="O84" s="73"/>
      <c r="P84" s="157"/>
      <c r="Q84" s="178"/>
    </row>
    <row r="85" spans="1:36" ht="28.5" customHeight="1">
      <c r="B85" s="422" t="s">
        <v>971</v>
      </c>
      <c r="C85" s="423" t="s">
        <v>971</v>
      </c>
      <c r="D85" s="415" t="s">
        <v>956</v>
      </c>
      <c r="E85" s="365"/>
      <c r="F85" s="235" t="s">
        <v>501</v>
      </c>
      <c r="G85" s="69"/>
      <c r="H85" s="69"/>
      <c r="I85" s="69"/>
      <c r="J85" s="69"/>
      <c r="K85" s="69"/>
      <c r="L85" s="69">
        <v>1.25</v>
      </c>
      <c r="M85" s="69">
        <v>173000</v>
      </c>
      <c r="N85" s="69">
        <v>5</v>
      </c>
      <c r="O85" s="69">
        <v>0.1</v>
      </c>
      <c r="P85" s="70"/>
      <c r="Q85" s="71">
        <f>L85*M85*N85*O85</f>
        <v>108125</v>
      </c>
    </row>
    <row r="86" spans="1:36" ht="39" customHeight="1">
      <c r="B86" s="422" t="s">
        <v>974</v>
      </c>
      <c r="C86" s="423" t="s">
        <v>974</v>
      </c>
      <c r="D86" s="415" t="s">
        <v>776</v>
      </c>
      <c r="E86" s="365"/>
      <c r="F86" s="235" t="s">
        <v>501</v>
      </c>
      <c r="G86" s="73"/>
      <c r="H86" s="73"/>
      <c r="I86" s="73"/>
      <c r="J86" s="73"/>
      <c r="K86" s="73"/>
      <c r="L86" s="73"/>
      <c r="M86" s="73">
        <v>10000</v>
      </c>
      <c r="N86" s="73">
        <v>5</v>
      </c>
      <c r="O86" s="73">
        <v>0.1</v>
      </c>
      <c r="P86" s="157"/>
      <c r="Q86" s="71">
        <f>M86*N86*O86</f>
        <v>5000</v>
      </c>
    </row>
    <row r="87" spans="1:36" ht="15" customHeight="1">
      <c r="B87" s="442" t="s">
        <v>1166</v>
      </c>
      <c r="C87" s="443" t="s">
        <v>1166</v>
      </c>
      <c r="D87" s="427" t="s">
        <v>970</v>
      </c>
      <c r="E87" s="446"/>
      <c r="F87" s="205"/>
      <c r="G87" s="73"/>
      <c r="H87" s="73"/>
      <c r="I87" s="73"/>
      <c r="J87" s="73"/>
      <c r="K87" s="73"/>
      <c r="L87" s="73"/>
      <c r="M87" s="73"/>
      <c r="N87" s="73"/>
      <c r="O87" s="73"/>
      <c r="P87" s="157"/>
      <c r="Q87" s="178"/>
    </row>
    <row r="88" spans="1:36" ht="58.5" customHeight="1">
      <c r="B88" s="422" t="s">
        <v>1192</v>
      </c>
      <c r="C88" s="423" t="s">
        <v>1192</v>
      </c>
      <c r="D88" s="415" t="s">
        <v>973</v>
      </c>
      <c r="E88" s="365"/>
      <c r="F88" s="235" t="s">
        <v>487</v>
      </c>
      <c r="G88" s="69"/>
      <c r="H88" s="69"/>
      <c r="I88" s="69"/>
      <c r="J88" s="69"/>
      <c r="K88" s="69"/>
      <c r="L88" s="69"/>
      <c r="M88" s="69">
        <v>4000</v>
      </c>
      <c r="N88" s="69">
        <v>5</v>
      </c>
      <c r="O88" s="69"/>
      <c r="P88" s="70"/>
      <c r="Q88" s="71">
        <f>M88*N88</f>
        <v>20000</v>
      </c>
    </row>
    <row r="89" spans="1:36" ht="60.75" customHeight="1">
      <c r="B89" s="422" t="s">
        <v>1193</v>
      </c>
      <c r="C89" s="423" t="s">
        <v>1193</v>
      </c>
      <c r="D89" s="415" t="s">
        <v>976</v>
      </c>
      <c r="E89" s="365"/>
      <c r="F89" s="235" t="s">
        <v>487</v>
      </c>
      <c r="G89" s="73"/>
      <c r="H89" s="73"/>
      <c r="I89" s="73"/>
      <c r="J89" s="73"/>
      <c r="K89" s="73"/>
      <c r="L89" s="73"/>
      <c r="M89" s="69">
        <v>4000</v>
      </c>
      <c r="N89" s="69">
        <v>5</v>
      </c>
      <c r="O89" s="69"/>
      <c r="P89" s="70"/>
      <c r="Q89" s="71">
        <f>M89*N89</f>
        <v>20000</v>
      </c>
    </row>
    <row r="90" spans="1:36" ht="63.75" customHeight="1">
      <c r="B90" s="422" t="s">
        <v>1194</v>
      </c>
      <c r="C90" s="423" t="s">
        <v>1194</v>
      </c>
      <c r="D90" s="415" t="s">
        <v>976</v>
      </c>
      <c r="E90" s="365"/>
      <c r="F90" s="235" t="s">
        <v>1006</v>
      </c>
      <c r="G90" s="73"/>
      <c r="H90" s="73"/>
      <c r="I90" s="73"/>
      <c r="J90" s="73"/>
      <c r="K90" s="73"/>
      <c r="L90" s="73"/>
      <c r="M90" s="69">
        <v>1000</v>
      </c>
      <c r="N90" s="69"/>
      <c r="O90" s="69"/>
      <c r="P90" s="70"/>
      <c r="Q90" s="71">
        <f>M90</f>
        <v>1000</v>
      </c>
    </row>
    <row r="92" spans="1:36" ht="15" customHeight="1">
      <c r="C92" s="278"/>
      <c r="G92" s="281" t="s">
        <v>1097</v>
      </c>
      <c r="H92" s="282"/>
      <c r="I92" s="282"/>
      <c r="J92" s="282"/>
      <c r="K92" s="282"/>
      <c r="L92" s="282"/>
    </row>
    <row r="93" spans="1:36" ht="23.25" customHeight="1">
      <c r="C93" s="279"/>
      <c r="D93" s="280"/>
      <c r="G93" s="289" t="s">
        <v>1098</v>
      </c>
      <c r="H93" s="284" t="s">
        <v>1099</v>
      </c>
      <c r="I93" s="282"/>
      <c r="J93" s="282"/>
      <c r="K93" s="282"/>
      <c r="L93" s="282"/>
    </row>
    <row r="94" spans="1:36" ht="28.5" customHeight="1">
      <c r="D94" s="280"/>
      <c r="E94" s="280"/>
      <c r="G94" s="282"/>
      <c r="H94" s="292" t="s">
        <v>1198</v>
      </c>
      <c r="I94" s="425" t="s">
        <v>1199</v>
      </c>
      <c r="J94" s="426"/>
      <c r="K94" s="293" t="s">
        <v>2</v>
      </c>
      <c r="L94" s="282"/>
    </row>
    <row r="95" spans="1:36" ht="15" customHeight="1">
      <c r="G95" s="282"/>
      <c r="H95" s="288">
        <v>130000</v>
      </c>
      <c r="I95" s="424">
        <v>43000</v>
      </c>
      <c r="J95" s="424"/>
      <c r="K95" s="288">
        <f>H95+I95</f>
        <v>173000</v>
      </c>
      <c r="L95" s="285"/>
    </row>
    <row r="96" spans="1:36" ht="15" customHeight="1">
      <c r="G96" s="289" t="s">
        <v>1100</v>
      </c>
      <c r="H96" s="287" t="s">
        <v>1101</v>
      </c>
      <c r="I96" s="285"/>
      <c r="J96" s="285"/>
      <c r="K96" s="286"/>
      <c r="L96" s="285"/>
    </row>
    <row r="97" spans="7:13" ht="28.5" customHeight="1">
      <c r="G97" s="283"/>
      <c r="H97" s="292" t="s">
        <v>1198</v>
      </c>
      <c r="I97" s="425" t="s">
        <v>1199</v>
      </c>
      <c r="J97" s="426"/>
      <c r="K97" s="293" t="s">
        <v>2</v>
      </c>
      <c r="L97" s="430"/>
      <c r="M97" s="430"/>
    </row>
    <row r="98" spans="7:13" ht="15" customHeight="1">
      <c r="G98" s="282"/>
      <c r="H98" s="288">
        <v>130000</v>
      </c>
      <c r="I98" s="424">
        <v>43000</v>
      </c>
      <c r="J98" s="424"/>
      <c r="K98" s="288">
        <f>H98+I98</f>
        <v>173000</v>
      </c>
      <c r="L98" s="429"/>
      <c r="M98" s="429"/>
    </row>
    <row r="99" spans="7:13" ht="15" customHeight="1">
      <c r="G99" s="289" t="s">
        <v>1102</v>
      </c>
      <c r="H99" s="284" t="s">
        <v>1103</v>
      </c>
      <c r="I99" s="282"/>
      <c r="J99" s="282"/>
      <c r="K99" s="282"/>
      <c r="L99" s="285"/>
    </row>
    <row r="100" spans="7:13" ht="28.5" customHeight="1">
      <c r="G100" s="282"/>
      <c r="H100" s="292" t="s">
        <v>1198</v>
      </c>
      <c r="I100" s="425" t="s">
        <v>1199</v>
      </c>
      <c r="J100" s="426"/>
      <c r="K100" s="293" t="s">
        <v>2</v>
      </c>
      <c r="L100" s="285"/>
    </row>
    <row r="101" spans="7:13" ht="15" customHeight="1">
      <c r="G101" s="282"/>
      <c r="H101" s="288">
        <v>130000</v>
      </c>
      <c r="I101" s="424">
        <v>43000</v>
      </c>
      <c r="J101" s="424"/>
      <c r="K101" s="288">
        <f>H101+I101</f>
        <v>173000</v>
      </c>
      <c r="L101" s="285"/>
    </row>
    <row r="102" spans="7:13" ht="15" customHeight="1">
      <c r="G102" s="289" t="s">
        <v>1104</v>
      </c>
      <c r="H102" s="284" t="s">
        <v>1105</v>
      </c>
      <c r="I102" s="282"/>
      <c r="J102" s="282"/>
      <c r="K102" s="282"/>
      <c r="L102" s="285"/>
    </row>
    <row r="103" spans="7:13" ht="28.5" customHeight="1">
      <c r="G103" s="282"/>
      <c r="H103" s="292" t="s">
        <v>1198</v>
      </c>
      <c r="I103" s="425" t="s">
        <v>1199</v>
      </c>
      <c r="J103" s="426"/>
      <c r="K103" s="293" t="s">
        <v>2</v>
      </c>
      <c r="L103" s="285"/>
    </row>
    <row r="104" spans="7:13" ht="15" customHeight="1">
      <c r="G104" s="282"/>
      <c r="H104" s="288">
        <v>130000</v>
      </c>
      <c r="I104" s="424">
        <v>43000</v>
      </c>
      <c r="J104" s="424"/>
      <c r="K104" s="288">
        <f>H104+I104</f>
        <v>173000</v>
      </c>
      <c r="L104" s="285"/>
    </row>
    <row r="105" spans="7:13" ht="15" customHeight="1">
      <c r="G105" s="282"/>
      <c r="H105" s="285"/>
      <c r="I105" s="285"/>
      <c r="J105" s="285"/>
      <c r="K105" s="285"/>
      <c r="L105" s="285"/>
    </row>
    <row r="106" spans="7:13" ht="15" customHeight="1">
      <c r="G106" s="282"/>
      <c r="H106" s="285"/>
      <c r="I106" s="285"/>
      <c r="J106" s="285"/>
      <c r="K106" s="285"/>
      <c r="L106" s="285"/>
    </row>
    <row r="107" spans="7:13" ht="15" customHeight="1">
      <c r="G107" s="282"/>
      <c r="H107" s="285"/>
      <c r="I107" s="285"/>
      <c r="J107" s="285"/>
      <c r="K107" s="285"/>
      <c r="L107" s="285"/>
    </row>
    <row r="108" spans="7:13" ht="15" customHeight="1">
      <c r="G108" s="282"/>
      <c r="H108" s="285"/>
      <c r="I108" s="285"/>
      <c r="J108" s="285"/>
      <c r="K108" s="285"/>
      <c r="L108" s="285"/>
    </row>
    <row r="109" spans="7:13" ht="15" customHeight="1">
      <c r="G109" s="282"/>
      <c r="H109" s="285"/>
      <c r="I109" s="285"/>
      <c r="J109" s="285"/>
      <c r="K109" s="285"/>
      <c r="L109" s="285"/>
    </row>
    <row r="110" spans="7:13" ht="15" customHeight="1">
      <c r="G110" s="282"/>
      <c r="H110" s="285"/>
      <c r="I110" s="285"/>
      <c r="J110" s="285"/>
      <c r="K110" s="285"/>
      <c r="L110" s="285"/>
    </row>
    <row r="111" spans="7:13" ht="15" customHeight="1">
      <c r="G111" s="282"/>
      <c r="H111" s="285"/>
      <c r="I111" s="285"/>
      <c r="J111" s="285"/>
      <c r="K111" s="285"/>
      <c r="L111" s="285"/>
    </row>
    <row r="112" spans="7:13" ht="15" customHeight="1">
      <c r="H112" s="158"/>
      <c r="I112" s="158"/>
      <c r="J112" s="158"/>
      <c r="K112" s="158"/>
      <c r="L112" s="158"/>
    </row>
    <row r="113" spans="8:12" ht="15" customHeight="1">
      <c r="H113" s="158"/>
      <c r="I113" s="158"/>
      <c r="J113" s="158"/>
      <c r="K113" s="158"/>
      <c r="L113" s="158"/>
    </row>
    <row r="114" spans="8:12" ht="15" customHeight="1">
      <c r="H114" s="158"/>
      <c r="I114" s="158"/>
      <c r="J114" s="158"/>
      <c r="K114" s="158"/>
      <c r="L114" s="158"/>
    </row>
    <row r="115" spans="8:12" ht="15" customHeight="1">
      <c r="H115" s="158"/>
      <c r="I115" s="158"/>
      <c r="J115" s="158"/>
      <c r="K115" s="158"/>
      <c r="L115" s="158"/>
    </row>
    <row r="116" spans="8:12" ht="15" customHeight="1">
      <c r="H116" s="158"/>
      <c r="I116" s="158"/>
      <c r="J116" s="158"/>
      <c r="K116" s="158"/>
      <c r="L116" s="158"/>
    </row>
    <row r="117" spans="8:12" ht="15" customHeight="1">
      <c r="H117" s="158"/>
      <c r="I117" s="158"/>
      <c r="J117" s="158"/>
      <c r="K117" s="158"/>
      <c r="L117" s="158"/>
    </row>
    <row r="118" spans="8:12" ht="15" customHeight="1">
      <c r="H118" s="158"/>
      <c r="I118" s="158"/>
      <c r="J118" s="158"/>
      <c r="K118" s="158"/>
      <c r="L118" s="158"/>
    </row>
    <row r="119" spans="8:12" ht="15" customHeight="1">
      <c r="H119" s="158"/>
      <c r="I119" s="158"/>
      <c r="J119" s="158"/>
      <c r="K119" s="158"/>
      <c r="L119" s="158"/>
    </row>
    <row r="120" spans="8:12" ht="15" customHeight="1">
      <c r="H120" s="158"/>
      <c r="I120" s="158"/>
      <c r="J120" s="158"/>
      <c r="K120" s="158"/>
      <c r="L120" s="158"/>
    </row>
    <row r="121" spans="8:12" ht="15" customHeight="1">
      <c r="H121" s="158"/>
      <c r="I121" s="158"/>
      <c r="J121" s="158"/>
      <c r="K121" s="158"/>
      <c r="L121" s="158"/>
    </row>
    <row r="122" spans="8:12" ht="15" customHeight="1">
      <c r="H122" s="158"/>
      <c r="I122" s="158"/>
      <c r="J122" s="158"/>
      <c r="K122" s="158"/>
      <c r="L122" s="158"/>
    </row>
    <row r="123" spans="8:12" ht="15" customHeight="1">
      <c r="H123" s="158"/>
      <c r="I123" s="158"/>
      <c r="J123" s="158"/>
      <c r="K123" s="158"/>
      <c r="L123" s="158"/>
    </row>
    <row r="124" spans="8:12" ht="15" customHeight="1">
      <c r="H124" s="158"/>
      <c r="I124" s="158"/>
      <c r="J124" s="158"/>
      <c r="K124" s="158"/>
      <c r="L124" s="158"/>
    </row>
    <row r="125" spans="8:12" ht="15" customHeight="1">
      <c r="H125" s="158"/>
      <c r="I125" s="158"/>
      <c r="J125" s="158"/>
      <c r="K125" s="158"/>
      <c r="L125" s="158"/>
    </row>
  </sheetData>
  <mergeCells count="178">
    <mergeCell ref="D82:E82"/>
    <mergeCell ref="D83:E83"/>
    <mergeCell ref="B54:C54"/>
    <mergeCell ref="B53:C53"/>
    <mergeCell ref="D53:E53"/>
    <mergeCell ref="D54:E54"/>
    <mergeCell ref="B82:C82"/>
    <mergeCell ref="B83:C83"/>
    <mergeCell ref="D88:E88"/>
    <mergeCell ref="B58:C58"/>
    <mergeCell ref="B60:C60"/>
    <mergeCell ref="D60:E60"/>
    <mergeCell ref="D84:E84"/>
    <mergeCell ref="D85:E85"/>
    <mergeCell ref="D86:E86"/>
    <mergeCell ref="B81:C81"/>
    <mergeCell ref="B84:C84"/>
    <mergeCell ref="B85:C85"/>
    <mergeCell ref="B86:C86"/>
    <mergeCell ref="D79:E79"/>
    <mergeCell ref="B55:C55"/>
    <mergeCell ref="B56:C56"/>
    <mergeCell ref="B57:C57"/>
    <mergeCell ref="B59:C59"/>
    <mergeCell ref="D48:E48"/>
    <mergeCell ref="B21:C21"/>
    <mergeCell ref="D21:Q21"/>
    <mergeCell ref="B22:C22"/>
    <mergeCell ref="D22:E22"/>
    <mergeCell ref="B26:C26"/>
    <mergeCell ref="D26:E26"/>
    <mergeCell ref="D29:E29"/>
    <mergeCell ref="B27:C27"/>
    <mergeCell ref="B28:C28"/>
    <mergeCell ref="B29:C29"/>
    <mergeCell ref="D23:E23"/>
    <mergeCell ref="B24:C24"/>
    <mergeCell ref="B25:C25"/>
    <mergeCell ref="D27:E27"/>
    <mergeCell ref="D28:E28"/>
    <mergeCell ref="D34:E34"/>
    <mergeCell ref="D35:E35"/>
    <mergeCell ref="B34:C34"/>
    <mergeCell ref="B35:C35"/>
    <mergeCell ref="D36:E36"/>
    <mergeCell ref="B36:C36"/>
    <mergeCell ref="D37:E37"/>
    <mergeCell ref="D38:E38"/>
    <mergeCell ref="B13:C13"/>
    <mergeCell ref="B14:C14"/>
    <mergeCell ref="B15:C15"/>
    <mergeCell ref="B16:C16"/>
    <mergeCell ref="B17:C17"/>
    <mergeCell ref="B18:C18"/>
    <mergeCell ref="B19:C19"/>
    <mergeCell ref="B20:C20"/>
    <mergeCell ref="D78:E78"/>
    <mergeCell ref="D74:E74"/>
    <mergeCell ref="D76:E76"/>
    <mergeCell ref="B71:C71"/>
    <mergeCell ref="D71:E71"/>
    <mergeCell ref="B64:C64"/>
    <mergeCell ref="B65:C65"/>
    <mergeCell ref="B66:C66"/>
    <mergeCell ref="B67:C67"/>
    <mergeCell ref="B74:C74"/>
    <mergeCell ref="B75:C75"/>
    <mergeCell ref="B76:C76"/>
    <mergeCell ref="B77:C77"/>
    <mergeCell ref="D24:E24"/>
    <mergeCell ref="D25:E25"/>
    <mergeCell ref="B23:C23"/>
    <mergeCell ref="B90:C90"/>
    <mergeCell ref="D90:E90"/>
    <mergeCell ref="B68:C68"/>
    <mergeCell ref="B79:C79"/>
    <mergeCell ref="B80:C80"/>
    <mergeCell ref="B73:C73"/>
    <mergeCell ref="B61:C61"/>
    <mergeCell ref="B62:C62"/>
    <mergeCell ref="B69:C69"/>
    <mergeCell ref="B70:C70"/>
    <mergeCell ref="B72:C72"/>
    <mergeCell ref="B78:C78"/>
    <mergeCell ref="D73:Q73"/>
    <mergeCell ref="D72:E72"/>
    <mergeCell ref="B87:C87"/>
    <mergeCell ref="B88:C88"/>
    <mergeCell ref="B89:C89"/>
    <mergeCell ref="D87:E87"/>
    <mergeCell ref="D68:E68"/>
    <mergeCell ref="D65:E65"/>
    <mergeCell ref="D66:E66"/>
    <mergeCell ref="D77:E77"/>
    <mergeCell ref="D89:E89"/>
    <mergeCell ref="D75:E75"/>
    <mergeCell ref="D45:E45"/>
    <mergeCell ref="D46:E46"/>
    <mergeCell ref="D47:E47"/>
    <mergeCell ref="B9:Q10"/>
    <mergeCell ref="P2:Q8"/>
    <mergeCell ref="B11:C11"/>
    <mergeCell ref="D11:E11"/>
    <mergeCell ref="B2:C8"/>
    <mergeCell ref="D2:O4"/>
    <mergeCell ref="D8:F8"/>
    <mergeCell ref="E6:J6"/>
    <mergeCell ref="E7:J7"/>
    <mergeCell ref="E5:J5"/>
    <mergeCell ref="B30:C30"/>
    <mergeCell ref="B31:C31"/>
    <mergeCell ref="B32:C32"/>
    <mergeCell ref="D30:E30"/>
    <mergeCell ref="D31:E31"/>
    <mergeCell ref="D32:E32"/>
    <mergeCell ref="D33:E33"/>
    <mergeCell ref="B33:C33"/>
    <mergeCell ref="B12:C12"/>
    <mergeCell ref="B37:C37"/>
    <mergeCell ref="B38:C38"/>
    <mergeCell ref="B39:C39"/>
    <mergeCell ref="B45:C45"/>
    <mergeCell ref="B46:C46"/>
    <mergeCell ref="B47:C47"/>
    <mergeCell ref="B48:C48"/>
    <mergeCell ref="B49:C49"/>
    <mergeCell ref="B50:C50"/>
    <mergeCell ref="B51:C51"/>
    <mergeCell ref="B52:C52"/>
    <mergeCell ref="B63:C63"/>
    <mergeCell ref="D59:E59"/>
    <mergeCell ref="D70:E70"/>
    <mergeCell ref="D62:E62"/>
    <mergeCell ref="D69:E69"/>
    <mergeCell ref="D50:E50"/>
    <mergeCell ref="D51:E51"/>
    <mergeCell ref="D52:E52"/>
    <mergeCell ref="D55:E55"/>
    <mergeCell ref="D56:E56"/>
    <mergeCell ref="D57:E57"/>
    <mergeCell ref="D64:E64"/>
    <mergeCell ref="D67:E67"/>
    <mergeCell ref="D63:E63"/>
    <mergeCell ref="D61:E61"/>
    <mergeCell ref="D58:Q58"/>
    <mergeCell ref="I101:J101"/>
    <mergeCell ref="I103:J103"/>
    <mergeCell ref="I104:J104"/>
    <mergeCell ref="D12:Q12"/>
    <mergeCell ref="D13:E13"/>
    <mergeCell ref="D14:E14"/>
    <mergeCell ref="D15:E15"/>
    <mergeCell ref="D16:E16"/>
    <mergeCell ref="D17:E17"/>
    <mergeCell ref="D18:E18"/>
    <mergeCell ref="D19:E19"/>
    <mergeCell ref="D20:E20"/>
    <mergeCell ref="D80:E80"/>
    <mergeCell ref="D81:E81"/>
    <mergeCell ref="I95:J95"/>
    <mergeCell ref="I94:J94"/>
    <mergeCell ref="I97:J97"/>
    <mergeCell ref="L98:M98"/>
    <mergeCell ref="L97:M97"/>
    <mergeCell ref="I98:J98"/>
    <mergeCell ref="I100:J100"/>
    <mergeCell ref="D49:E49"/>
    <mergeCell ref="D39:E39"/>
    <mergeCell ref="D40:E40"/>
    <mergeCell ref="D41:E41"/>
    <mergeCell ref="D42:E42"/>
    <mergeCell ref="D43:E43"/>
    <mergeCell ref="D44:E44"/>
    <mergeCell ref="B40:C40"/>
    <mergeCell ref="B41:C41"/>
    <mergeCell ref="B42:C42"/>
    <mergeCell ref="B43:C43"/>
    <mergeCell ref="B44:C44"/>
  </mergeCells>
  <printOptions horizontalCentered="1"/>
  <pageMargins left="0.98425196850393704" right="0.59055118110236227" top="0.78740157480314965" bottom="0.78740157480314965" header="0" footer="0"/>
  <pageSetup paperSize="9" scale="3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2"/>
  <sheetViews>
    <sheetView topLeftCell="A520" zoomScale="70" zoomScaleNormal="70" workbookViewId="0">
      <selection activeCell="L556" sqref="L556"/>
    </sheetView>
  </sheetViews>
  <sheetFormatPr defaultColWidth="14.42578125" defaultRowHeight="15" customHeight="1"/>
  <cols>
    <col min="1" max="1" width="11.5703125" customWidth="1"/>
    <col min="2" max="2" width="21.5703125" customWidth="1"/>
    <col min="3" max="3" width="20.5703125" customWidth="1"/>
    <col min="4" max="4" width="20.85546875" customWidth="1"/>
    <col min="5" max="5" width="78" customWidth="1"/>
    <col min="6" max="6" width="9.5703125" customWidth="1"/>
    <col min="7" max="7" width="15" customWidth="1"/>
    <col min="8" max="8" width="16.85546875" customWidth="1"/>
    <col min="9" max="9" width="17.42578125" customWidth="1"/>
    <col min="10" max="10" width="10.42578125" customWidth="1"/>
    <col min="11" max="11" width="20" customWidth="1"/>
    <col min="12" max="12" width="20.42578125" customWidth="1"/>
    <col min="13" max="13" width="14" customWidth="1"/>
    <col min="14" max="14" width="16.28515625" customWidth="1"/>
    <col min="15" max="17" width="11.5703125" customWidth="1"/>
  </cols>
  <sheetData>
    <row r="1" spans="1:17">
      <c r="A1" s="78"/>
      <c r="B1" s="78"/>
      <c r="C1" s="78"/>
      <c r="D1" s="78"/>
      <c r="E1" s="78"/>
      <c r="F1" s="79"/>
      <c r="G1" s="79"/>
      <c r="H1" s="80"/>
      <c r="I1" s="80"/>
      <c r="J1" s="79"/>
      <c r="K1" s="80"/>
      <c r="L1" s="78"/>
      <c r="M1" s="79"/>
      <c r="N1" s="78"/>
      <c r="O1" s="78"/>
      <c r="P1" s="78"/>
      <c r="Q1" s="78"/>
    </row>
    <row r="2" spans="1:17" ht="39.75" customHeight="1">
      <c r="A2" s="78"/>
      <c r="B2" s="366"/>
      <c r="C2" s="418"/>
      <c r="D2" s="463" t="s">
        <v>462</v>
      </c>
      <c r="E2" s="381"/>
      <c r="F2" s="381"/>
      <c r="G2" s="381"/>
      <c r="H2" s="381"/>
      <c r="I2" s="418"/>
      <c r="J2" s="462"/>
      <c r="K2" s="381"/>
      <c r="L2" s="367"/>
      <c r="M2" s="79"/>
      <c r="N2" s="78"/>
      <c r="O2" s="78"/>
      <c r="P2" s="78"/>
      <c r="Q2" s="78"/>
    </row>
    <row r="3" spans="1:17" ht="18" customHeight="1">
      <c r="A3" s="78"/>
      <c r="B3" s="368"/>
      <c r="C3" s="421"/>
      <c r="D3" s="405"/>
      <c r="E3" s="406"/>
      <c r="F3" s="406"/>
      <c r="G3" s="406"/>
      <c r="H3" s="406"/>
      <c r="I3" s="403"/>
      <c r="J3" s="433"/>
      <c r="K3" s="438"/>
      <c r="L3" s="369"/>
      <c r="M3" s="79"/>
      <c r="N3" s="78"/>
      <c r="O3" s="78"/>
      <c r="P3" s="78"/>
      <c r="Q3" s="78"/>
    </row>
    <row r="4" spans="1:17" ht="53.25" customHeight="1">
      <c r="A4" s="78"/>
      <c r="B4" s="368"/>
      <c r="C4" s="421"/>
      <c r="D4" s="81" t="s">
        <v>463</v>
      </c>
      <c r="E4" s="208" t="str">
        <f>'MEMORIA DE CALCULO'!E5:F5</f>
        <v>EXECUÇÃO DE MANUTENÇÃO CONTÍNUA PREVENTIVA E CORRETIVA DAS VIAS VICINAIS E RURAIS</v>
      </c>
      <c r="F4" s="461" t="s">
        <v>503</v>
      </c>
      <c r="G4" s="364"/>
      <c r="H4" s="365"/>
      <c r="I4" s="60">
        <f>+'PLANILHA ORÇAMENTÁRIA'!G5</f>
        <v>0.47699999999999998</v>
      </c>
      <c r="J4" s="433"/>
      <c r="K4" s="438"/>
      <c r="L4" s="369"/>
      <c r="M4" s="79"/>
      <c r="N4" s="78"/>
      <c r="O4" s="78"/>
      <c r="P4" s="78"/>
      <c r="Q4" s="78"/>
    </row>
    <row r="5" spans="1:17" ht="18.75" customHeight="1">
      <c r="A5" s="78"/>
      <c r="B5" s="368"/>
      <c r="C5" s="421"/>
      <c r="D5" s="81" t="s">
        <v>465</v>
      </c>
      <c r="E5" s="17" t="str">
        <f>'MEMORIA DE CALCULO'!E6:F6</f>
        <v>SANTO ANTÔNIO DOS LOPES - MA</v>
      </c>
      <c r="F5" s="461" t="s">
        <v>467</v>
      </c>
      <c r="G5" s="364"/>
      <c r="H5" s="365"/>
      <c r="I5" s="60">
        <f>+'PLANILHA ORÇAMENTÁRIA'!G6</f>
        <v>0.84609999999999996</v>
      </c>
      <c r="J5" s="433"/>
      <c r="K5" s="438"/>
      <c r="L5" s="369"/>
      <c r="M5" s="79"/>
      <c r="N5" s="78"/>
      <c r="O5" s="78"/>
      <c r="P5" s="78"/>
      <c r="Q5" s="78"/>
    </row>
    <row r="6" spans="1:17" ht="18.75" customHeight="1">
      <c r="A6" s="78"/>
      <c r="B6" s="368"/>
      <c r="C6" s="421"/>
      <c r="D6" s="81" t="s">
        <v>468</v>
      </c>
      <c r="E6" s="17" t="str">
        <f>'MEMORIA DE CALCULO'!E7:F7</f>
        <v>DIVERSOS POVOADOS DO MUNICÍPIO DE SANTO ANTÔNIO DOS LOPES - MA</v>
      </c>
      <c r="F6" s="461" t="s">
        <v>469</v>
      </c>
      <c r="G6" s="364"/>
      <c r="H6" s="365"/>
      <c r="I6" s="61">
        <f>'MEMORIA DE CALCULO'!O7</f>
        <v>45078</v>
      </c>
      <c r="J6" s="433"/>
      <c r="K6" s="438"/>
      <c r="L6" s="369"/>
      <c r="M6" s="79"/>
      <c r="N6" s="78"/>
      <c r="O6" s="78"/>
      <c r="P6" s="78"/>
      <c r="Q6" s="78"/>
    </row>
    <row r="7" spans="1:17" ht="18.75" customHeight="1">
      <c r="A7" s="78"/>
      <c r="B7" s="402"/>
      <c r="C7" s="403"/>
      <c r="D7" s="464"/>
      <c r="E7" s="365"/>
      <c r="F7" s="461" t="s">
        <v>470</v>
      </c>
      <c r="G7" s="364"/>
      <c r="H7" s="365"/>
      <c r="I7" s="62">
        <f>'MEMORIA DE CALCULO'!O8</f>
        <v>0.24229999999999999</v>
      </c>
      <c r="J7" s="405"/>
      <c r="K7" s="406"/>
      <c r="L7" s="388"/>
      <c r="M7" s="79"/>
      <c r="N7" s="78"/>
      <c r="O7" s="78"/>
      <c r="P7" s="78"/>
      <c r="Q7" s="78"/>
    </row>
    <row r="8" spans="1:17" ht="15.75" customHeight="1">
      <c r="A8" s="78"/>
      <c r="B8" s="465" t="s">
        <v>517</v>
      </c>
      <c r="C8" s="394"/>
      <c r="D8" s="394"/>
      <c r="E8" s="394"/>
      <c r="F8" s="394"/>
      <c r="G8" s="394"/>
      <c r="H8" s="394"/>
      <c r="I8" s="394"/>
      <c r="J8" s="394"/>
      <c r="K8" s="394"/>
      <c r="L8" s="399"/>
      <c r="M8" s="79"/>
      <c r="N8" s="78"/>
      <c r="O8" s="78"/>
      <c r="P8" s="78"/>
      <c r="Q8" s="78"/>
    </row>
    <row r="9" spans="1:17">
      <c r="A9" s="78"/>
      <c r="B9" s="402"/>
      <c r="C9" s="406"/>
      <c r="D9" s="406"/>
      <c r="E9" s="406"/>
      <c r="F9" s="406"/>
      <c r="G9" s="406"/>
      <c r="H9" s="406"/>
      <c r="I9" s="406"/>
      <c r="J9" s="406"/>
      <c r="K9" s="406"/>
      <c r="L9" s="388"/>
      <c r="M9" s="79"/>
      <c r="N9" s="78"/>
      <c r="O9" s="78"/>
      <c r="P9" s="78"/>
      <c r="Q9" s="78"/>
    </row>
    <row r="10" spans="1:17" ht="31.5">
      <c r="A10" s="78"/>
      <c r="B10" s="82" t="s">
        <v>472</v>
      </c>
      <c r="C10" s="83" t="s">
        <v>518</v>
      </c>
      <c r="D10" s="466" t="s">
        <v>519</v>
      </c>
      <c r="E10" s="365"/>
      <c r="F10" s="84" t="s">
        <v>481</v>
      </c>
      <c r="G10" s="85" t="s">
        <v>520</v>
      </c>
      <c r="H10" s="86" t="s">
        <v>521</v>
      </c>
      <c r="I10" s="86" t="s">
        <v>522</v>
      </c>
      <c r="J10" s="87" t="s">
        <v>523</v>
      </c>
      <c r="K10" s="86" t="s">
        <v>524</v>
      </c>
      <c r="L10" s="88" t="s">
        <v>525</v>
      </c>
      <c r="M10" s="79"/>
      <c r="N10" s="78"/>
      <c r="O10" s="78"/>
      <c r="P10" s="78"/>
      <c r="Q10" s="78"/>
    </row>
    <row r="11" spans="1:17" ht="15.75">
      <c r="A11" s="78"/>
      <c r="B11" s="89" t="s">
        <v>479</v>
      </c>
      <c r="C11" s="90"/>
      <c r="D11" s="450" t="s">
        <v>1121</v>
      </c>
      <c r="E11" s="364"/>
      <c r="F11" s="364"/>
      <c r="G11" s="364"/>
      <c r="H11" s="364"/>
      <c r="I11" s="364"/>
      <c r="J11" s="364"/>
      <c r="K11" s="364"/>
      <c r="L11" s="428"/>
      <c r="M11" s="79"/>
      <c r="N11" s="78"/>
      <c r="O11" s="78"/>
      <c r="P11" s="78"/>
      <c r="Q11" s="78"/>
    </row>
    <row r="12" spans="1:17" ht="15.75">
      <c r="A12" s="78"/>
      <c r="B12" s="89" t="s">
        <v>480</v>
      </c>
      <c r="C12" s="231">
        <v>90777</v>
      </c>
      <c r="D12" s="454" t="s">
        <v>1110</v>
      </c>
      <c r="E12" s="455"/>
      <c r="F12" s="455"/>
      <c r="G12" s="455"/>
      <c r="H12" s="455"/>
      <c r="I12" s="455"/>
      <c r="J12" s="455"/>
      <c r="K12" s="455"/>
      <c r="L12" s="460"/>
      <c r="M12" s="79"/>
      <c r="N12" s="78"/>
      <c r="O12" s="78"/>
      <c r="P12" s="78"/>
      <c r="Q12" s="78"/>
    </row>
    <row r="13" spans="1:17" ht="15" customHeight="1">
      <c r="A13" s="78"/>
      <c r="B13" s="91"/>
      <c r="C13" s="34">
        <v>2706</v>
      </c>
      <c r="D13" s="448" t="s">
        <v>1122</v>
      </c>
      <c r="E13" s="365"/>
      <c r="F13" s="92" t="s">
        <v>528</v>
      </c>
      <c r="G13" s="92">
        <v>1</v>
      </c>
      <c r="H13" s="291">
        <v>94.15</v>
      </c>
      <c r="I13" s="93">
        <f t="shared" ref="I13:I18" si="0">G13*H13</f>
        <v>94.15</v>
      </c>
      <c r="J13" s="94">
        <v>0.24229999999999999</v>
      </c>
      <c r="K13" s="93">
        <f t="shared" ref="K13:K18" si="1">I13*J13</f>
        <v>22.812545</v>
      </c>
      <c r="L13" s="95">
        <f>ROUND(I13+K13,2)</f>
        <v>116.96</v>
      </c>
      <c r="M13" s="79"/>
      <c r="N13" s="78"/>
      <c r="O13" s="78"/>
      <c r="P13" s="78"/>
      <c r="Q13" s="78"/>
    </row>
    <row r="14" spans="1:17">
      <c r="A14" s="78"/>
      <c r="B14" s="91"/>
      <c r="C14" s="34">
        <v>37372</v>
      </c>
      <c r="D14" s="448" t="s">
        <v>764</v>
      </c>
      <c r="E14" s="365"/>
      <c r="F14" s="92" t="s">
        <v>528</v>
      </c>
      <c r="G14" s="92">
        <v>1</v>
      </c>
      <c r="H14" s="291">
        <v>1.1399999999999999</v>
      </c>
      <c r="I14" s="93">
        <f t="shared" si="0"/>
        <v>1.1399999999999999</v>
      </c>
      <c r="J14" s="94">
        <v>0.24229999999999999</v>
      </c>
      <c r="K14" s="93">
        <f t="shared" si="1"/>
        <v>0.27622199999999997</v>
      </c>
      <c r="L14" s="95">
        <f t="shared" ref="L14:L18" si="2">ROUND(I14+K14,2)</f>
        <v>1.42</v>
      </c>
      <c r="M14" s="79"/>
      <c r="N14" s="78"/>
      <c r="O14" s="78"/>
      <c r="P14" s="78"/>
      <c r="Q14" s="78"/>
    </row>
    <row r="15" spans="1:17">
      <c r="A15" s="78"/>
      <c r="B15" s="91"/>
      <c r="C15" s="34">
        <v>37373</v>
      </c>
      <c r="D15" s="448" t="s">
        <v>765</v>
      </c>
      <c r="E15" s="365"/>
      <c r="F15" s="92" t="s">
        <v>528</v>
      </c>
      <c r="G15" s="92">
        <v>1</v>
      </c>
      <c r="H15" s="291">
        <v>0.01</v>
      </c>
      <c r="I15" s="93">
        <f t="shared" si="0"/>
        <v>0.01</v>
      </c>
      <c r="J15" s="94">
        <v>0.24229999999999999</v>
      </c>
      <c r="K15" s="93">
        <f t="shared" si="1"/>
        <v>2.4229999999999998E-3</v>
      </c>
      <c r="L15" s="95">
        <f t="shared" si="2"/>
        <v>0.01</v>
      </c>
      <c r="M15" s="79"/>
      <c r="N15" s="78"/>
      <c r="O15" s="78"/>
      <c r="P15" s="78"/>
      <c r="Q15" s="78"/>
    </row>
    <row r="16" spans="1:17">
      <c r="A16" s="78"/>
      <c r="B16" s="91"/>
      <c r="C16" s="34">
        <v>43462</v>
      </c>
      <c r="D16" s="448" t="s">
        <v>1123</v>
      </c>
      <c r="E16" s="365"/>
      <c r="F16" s="92" t="s">
        <v>528</v>
      </c>
      <c r="G16" s="92">
        <v>1</v>
      </c>
      <c r="H16" s="291">
        <v>0.01</v>
      </c>
      <c r="I16" s="93">
        <f t="shared" ref="I16" si="3">G16*H16</f>
        <v>0.01</v>
      </c>
      <c r="J16" s="94">
        <v>0.24229999999999999</v>
      </c>
      <c r="K16" s="93">
        <f t="shared" ref="K16" si="4">I16*J16</f>
        <v>2.4229999999999998E-3</v>
      </c>
      <c r="L16" s="95">
        <f t="shared" si="2"/>
        <v>0.01</v>
      </c>
      <c r="M16" s="79"/>
      <c r="N16" s="78"/>
      <c r="O16" s="78"/>
      <c r="P16" s="78"/>
      <c r="Q16" s="78"/>
    </row>
    <row r="17" spans="1:17" ht="15" customHeight="1">
      <c r="A17" s="78"/>
      <c r="B17" s="91"/>
      <c r="C17" s="34">
        <v>43486</v>
      </c>
      <c r="D17" s="448" t="s">
        <v>1124</v>
      </c>
      <c r="E17" s="365"/>
      <c r="F17" s="92" t="s">
        <v>528</v>
      </c>
      <c r="G17" s="92">
        <v>1</v>
      </c>
      <c r="H17" s="291">
        <v>0.71</v>
      </c>
      <c r="I17" s="93">
        <f t="shared" si="0"/>
        <v>0.71</v>
      </c>
      <c r="J17" s="94">
        <v>0.24229999999999999</v>
      </c>
      <c r="K17" s="93">
        <f t="shared" si="1"/>
        <v>0.17203299999999999</v>
      </c>
      <c r="L17" s="95">
        <f t="shared" si="2"/>
        <v>0.88</v>
      </c>
      <c r="M17" s="79"/>
      <c r="N17" s="78"/>
      <c r="O17" s="78"/>
      <c r="P17" s="78"/>
      <c r="Q17" s="78"/>
    </row>
    <row r="18" spans="1:17" ht="15" customHeight="1">
      <c r="A18" s="78"/>
      <c r="B18" s="91"/>
      <c r="C18" s="34">
        <v>95402</v>
      </c>
      <c r="D18" s="448" t="s">
        <v>1125</v>
      </c>
      <c r="E18" s="365"/>
      <c r="F18" s="92" t="s">
        <v>528</v>
      </c>
      <c r="G18" s="92">
        <v>1</v>
      </c>
      <c r="H18" s="291">
        <v>1.45</v>
      </c>
      <c r="I18" s="93">
        <f t="shared" si="0"/>
        <v>1.45</v>
      </c>
      <c r="J18" s="94">
        <v>0.24229999999999999</v>
      </c>
      <c r="K18" s="93">
        <f t="shared" si="1"/>
        <v>0.35133499999999995</v>
      </c>
      <c r="L18" s="95">
        <f t="shared" si="2"/>
        <v>1.8</v>
      </c>
      <c r="M18" s="79"/>
      <c r="N18" s="78"/>
      <c r="O18" s="78"/>
      <c r="P18" s="78"/>
      <c r="Q18" s="78"/>
    </row>
    <row r="19" spans="1:17" ht="15.75">
      <c r="A19" s="78"/>
      <c r="B19" s="459"/>
      <c r="C19" s="364"/>
      <c r="D19" s="364"/>
      <c r="E19" s="364"/>
      <c r="F19" s="364"/>
      <c r="G19" s="364"/>
      <c r="H19" s="364"/>
      <c r="I19" s="364"/>
      <c r="J19" s="365"/>
      <c r="K19" s="96" t="s">
        <v>526</v>
      </c>
      <c r="L19" s="88">
        <f>SUM(L13:L18)</f>
        <v>121.08</v>
      </c>
      <c r="M19" s="79"/>
      <c r="N19" s="78"/>
      <c r="O19" s="78"/>
      <c r="P19" s="78"/>
      <c r="Q19" s="78"/>
    </row>
    <row r="20" spans="1:17" ht="15.75">
      <c r="A20" s="78"/>
      <c r="B20" s="230"/>
      <c r="C20" s="177"/>
      <c r="D20" s="177"/>
      <c r="E20" s="177"/>
      <c r="F20" s="177"/>
      <c r="G20" s="177"/>
      <c r="H20" s="177"/>
      <c r="I20" s="177"/>
      <c r="J20" s="177"/>
      <c r="K20" s="295"/>
      <c r="L20" s="296"/>
      <c r="M20" s="79"/>
      <c r="N20" s="78"/>
      <c r="O20" s="78"/>
      <c r="P20" s="78"/>
      <c r="Q20" s="78"/>
    </row>
    <row r="21" spans="1:17" ht="15.75">
      <c r="A21" s="78"/>
      <c r="B21" s="89" t="s">
        <v>482</v>
      </c>
      <c r="C21" s="231">
        <v>90776</v>
      </c>
      <c r="D21" s="454" t="s">
        <v>1111</v>
      </c>
      <c r="E21" s="455"/>
      <c r="F21" s="455"/>
      <c r="G21" s="455"/>
      <c r="H21" s="455"/>
      <c r="I21" s="455"/>
      <c r="J21" s="455"/>
      <c r="K21" s="455"/>
      <c r="L21" s="460"/>
      <c r="M21" s="79"/>
      <c r="N21" s="78"/>
      <c r="O21" s="78"/>
      <c r="P21" s="78"/>
      <c r="Q21" s="78"/>
    </row>
    <row r="22" spans="1:17" ht="15" customHeight="1">
      <c r="A22" s="78"/>
      <c r="B22" s="91"/>
      <c r="C22" s="34">
        <v>4083</v>
      </c>
      <c r="D22" s="448" t="s">
        <v>1126</v>
      </c>
      <c r="E22" s="365"/>
      <c r="F22" s="92" t="s">
        <v>528</v>
      </c>
      <c r="G22" s="92">
        <v>1</v>
      </c>
      <c r="H22" s="291">
        <v>24.94</v>
      </c>
      <c r="I22" s="93">
        <f t="shared" ref="I22:I27" si="5">G22*H22</f>
        <v>24.94</v>
      </c>
      <c r="J22" s="94">
        <v>0.24229999999999999</v>
      </c>
      <c r="K22" s="93">
        <f t="shared" ref="K22:K27" si="6">I22*J22</f>
        <v>6.0429620000000002</v>
      </c>
      <c r="L22" s="95">
        <f t="shared" ref="L22:L27" si="7">ROUND(I22+K22,2)</f>
        <v>30.98</v>
      </c>
      <c r="M22" s="79"/>
      <c r="N22" s="78"/>
      <c r="O22" s="78"/>
      <c r="P22" s="78"/>
      <c r="Q22" s="78"/>
    </row>
    <row r="23" spans="1:17" ht="15" customHeight="1">
      <c r="A23" s="78"/>
      <c r="B23" s="91"/>
      <c r="C23" s="34">
        <v>37372</v>
      </c>
      <c r="D23" s="448" t="s">
        <v>764</v>
      </c>
      <c r="E23" s="365"/>
      <c r="F23" s="92" t="s">
        <v>528</v>
      </c>
      <c r="G23" s="92">
        <v>1</v>
      </c>
      <c r="H23" s="291">
        <v>1.1399999999999999</v>
      </c>
      <c r="I23" s="93">
        <f t="shared" si="5"/>
        <v>1.1399999999999999</v>
      </c>
      <c r="J23" s="94">
        <v>0.24229999999999999</v>
      </c>
      <c r="K23" s="93">
        <f t="shared" si="6"/>
        <v>0.27622199999999997</v>
      </c>
      <c r="L23" s="95">
        <f t="shared" si="7"/>
        <v>1.42</v>
      </c>
      <c r="M23" s="79"/>
      <c r="N23" s="78"/>
      <c r="O23" s="78"/>
      <c r="P23" s="78"/>
      <c r="Q23" s="78"/>
    </row>
    <row r="24" spans="1:17" ht="15" customHeight="1">
      <c r="A24" s="78"/>
      <c r="B24" s="91"/>
      <c r="C24" s="34">
        <v>37373</v>
      </c>
      <c r="D24" s="448" t="s">
        <v>765</v>
      </c>
      <c r="E24" s="365"/>
      <c r="F24" s="92" t="s">
        <v>528</v>
      </c>
      <c r="G24" s="92">
        <v>1</v>
      </c>
      <c r="H24" s="291">
        <v>0.01</v>
      </c>
      <c r="I24" s="93">
        <f t="shared" si="5"/>
        <v>0.01</v>
      </c>
      <c r="J24" s="94">
        <v>0.24229999999999999</v>
      </c>
      <c r="K24" s="93">
        <f t="shared" si="6"/>
        <v>2.4229999999999998E-3</v>
      </c>
      <c r="L24" s="95">
        <f t="shared" si="7"/>
        <v>0.01</v>
      </c>
      <c r="M24" s="79"/>
      <c r="N24" s="78"/>
      <c r="O24" s="78"/>
      <c r="P24" s="78"/>
      <c r="Q24" s="78"/>
    </row>
    <row r="25" spans="1:17" ht="15" customHeight="1">
      <c r="A25" s="78"/>
      <c r="B25" s="91"/>
      <c r="C25" s="34">
        <v>43463</v>
      </c>
      <c r="D25" s="448" t="s">
        <v>1127</v>
      </c>
      <c r="E25" s="365"/>
      <c r="F25" s="92" t="s">
        <v>528</v>
      </c>
      <c r="G25" s="92">
        <v>1</v>
      </c>
      <c r="H25" s="291">
        <v>0.11</v>
      </c>
      <c r="I25" s="93">
        <f t="shared" si="5"/>
        <v>0.11</v>
      </c>
      <c r="J25" s="94">
        <v>0.24229999999999999</v>
      </c>
      <c r="K25" s="93">
        <f t="shared" si="6"/>
        <v>2.6653E-2</v>
      </c>
      <c r="L25" s="95">
        <f t="shared" si="7"/>
        <v>0.14000000000000001</v>
      </c>
      <c r="M25" s="79"/>
      <c r="N25" s="78"/>
      <c r="O25" s="78"/>
      <c r="P25" s="78"/>
      <c r="Q25" s="78"/>
    </row>
    <row r="26" spans="1:17" ht="15" customHeight="1">
      <c r="A26" s="78"/>
      <c r="B26" s="91"/>
      <c r="C26" s="34">
        <v>43487</v>
      </c>
      <c r="D26" s="448" t="s">
        <v>1128</v>
      </c>
      <c r="E26" s="365"/>
      <c r="F26" s="92" t="s">
        <v>528</v>
      </c>
      <c r="G26" s="92">
        <v>1</v>
      </c>
      <c r="H26" s="291">
        <v>1.17</v>
      </c>
      <c r="I26" s="93">
        <f t="shared" si="5"/>
        <v>1.17</v>
      </c>
      <c r="J26" s="94">
        <v>0.24229999999999999</v>
      </c>
      <c r="K26" s="93">
        <f t="shared" si="6"/>
        <v>0.28349099999999999</v>
      </c>
      <c r="L26" s="95">
        <f t="shared" si="7"/>
        <v>1.45</v>
      </c>
      <c r="M26" s="79"/>
      <c r="N26" s="78"/>
      <c r="O26" s="78"/>
      <c r="P26" s="78"/>
      <c r="Q26" s="78"/>
    </row>
    <row r="27" spans="1:17" ht="15" customHeight="1">
      <c r="A27" s="78"/>
      <c r="B27" s="91"/>
      <c r="C27" s="34">
        <v>95401</v>
      </c>
      <c r="D27" s="448" t="s">
        <v>1129</v>
      </c>
      <c r="E27" s="365"/>
      <c r="F27" s="92" t="s">
        <v>528</v>
      </c>
      <c r="G27" s="92">
        <v>1</v>
      </c>
      <c r="H27" s="291">
        <v>0.55000000000000004</v>
      </c>
      <c r="I27" s="93">
        <f t="shared" si="5"/>
        <v>0.55000000000000004</v>
      </c>
      <c r="J27" s="94">
        <v>0.24229999999999999</v>
      </c>
      <c r="K27" s="93">
        <f t="shared" si="6"/>
        <v>0.13326499999999999</v>
      </c>
      <c r="L27" s="95">
        <f t="shared" si="7"/>
        <v>0.68</v>
      </c>
      <c r="M27" s="79"/>
      <c r="N27" s="78"/>
      <c r="O27" s="78"/>
      <c r="P27" s="78"/>
      <c r="Q27" s="78"/>
    </row>
    <row r="28" spans="1:17" ht="15.75">
      <c r="A28" s="78"/>
      <c r="B28" s="459"/>
      <c r="C28" s="364"/>
      <c r="D28" s="364"/>
      <c r="E28" s="364"/>
      <c r="F28" s="364"/>
      <c r="G28" s="364"/>
      <c r="H28" s="364"/>
      <c r="I28" s="364"/>
      <c r="J28" s="365"/>
      <c r="K28" s="96" t="s">
        <v>526</v>
      </c>
      <c r="L28" s="88">
        <f>SUM(L22:L27)</f>
        <v>34.68</v>
      </c>
      <c r="M28" s="79"/>
      <c r="N28" s="78"/>
      <c r="O28" s="78"/>
      <c r="P28" s="78"/>
      <c r="Q28" s="78"/>
    </row>
    <row r="29" spans="1:17" ht="15.75">
      <c r="A29" s="78"/>
      <c r="B29" s="89" t="s">
        <v>483</v>
      </c>
      <c r="C29" s="231">
        <v>88255</v>
      </c>
      <c r="D29" s="454" t="s">
        <v>1112</v>
      </c>
      <c r="E29" s="455"/>
      <c r="F29" s="455"/>
      <c r="G29" s="455"/>
      <c r="H29" s="455"/>
      <c r="I29" s="455"/>
      <c r="J29" s="455"/>
      <c r="K29" s="455"/>
      <c r="L29" s="460"/>
      <c r="M29" s="79"/>
      <c r="N29" s="78"/>
      <c r="O29" s="78"/>
      <c r="P29" s="78"/>
      <c r="Q29" s="78"/>
    </row>
    <row r="30" spans="1:17" ht="15" customHeight="1">
      <c r="A30" s="78"/>
      <c r="B30" s="91"/>
      <c r="C30" s="34">
        <v>532</v>
      </c>
      <c r="D30" s="448" t="s">
        <v>1130</v>
      </c>
      <c r="E30" s="365"/>
      <c r="F30" s="92" t="s">
        <v>528</v>
      </c>
      <c r="G30" s="92">
        <v>1</v>
      </c>
      <c r="H30" s="291">
        <v>21.19</v>
      </c>
      <c r="I30" s="93">
        <f t="shared" ref="I30:I35" si="8">G30*H30</f>
        <v>21.19</v>
      </c>
      <c r="J30" s="94">
        <v>0.24229999999999999</v>
      </c>
      <c r="K30" s="93">
        <f t="shared" ref="K30:K35" si="9">I30*J30</f>
        <v>5.1343370000000004</v>
      </c>
      <c r="L30" s="95">
        <f t="shared" ref="L30:L35" si="10">ROUND(I30+K30,2)</f>
        <v>26.32</v>
      </c>
      <c r="M30" s="79"/>
      <c r="N30" s="78"/>
      <c r="O30" s="78"/>
      <c r="P30" s="78"/>
      <c r="Q30" s="78"/>
    </row>
    <row r="31" spans="1:17" ht="15" customHeight="1">
      <c r="A31" s="78"/>
      <c r="B31" s="91"/>
      <c r="C31" s="34">
        <v>37372</v>
      </c>
      <c r="D31" s="448" t="s">
        <v>764</v>
      </c>
      <c r="E31" s="365"/>
      <c r="F31" s="92" t="s">
        <v>528</v>
      </c>
      <c r="G31" s="92">
        <v>1</v>
      </c>
      <c r="H31" s="291">
        <v>1.1399999999999999</v>
      </c>
      <c r="I31" s="93">
        <f t="shared" si="8"/>
        <v>1.1399999999999999</v>
      </c>
      <c r="J31" s="94">
        <v>0.24229999999999999</v>
      </c>
      <c r="K31" s="93">
        <f t="shared" si="9"/>
        <v>0.27622199999999997</v>
      </c>
      <c r="L31" s="95">
        <f t="shared" si="10"/>
        <v>1.42</v>
      </c>
      <c r="M31" s="79"/>
      <c r="N31" s="78"/>
      <c r="O31" s="78"/>
      <c r="P31" s="78"/>
      <c r="Q31" s="78"/>
    </row>
    <row r="32" spans="1:17" ht="15" customHeight="1">
      <c r="A32" s="78"/>
      <c r="B32" s="91"/>
      <c r="C32" s="34">
        <v>37373</v>
      </c>
      <c r="D32" s="448" t="s">
        <v>765</v>
      </c>
      <c r="E32" s="365"/>
      <c r="F32" s="92" t="s">
        <v>528</v>
      </c>
      <c r="G32" s="92">
        <v>1</v>
      </c>
      <c r="H32" s="291">
        <v>0.01</v>
      </c>
      <c r="I32" s="93">
        <f t="shared" si="8"/>
        <v>0.01</v>
      </c>
      <c r="J32" s="94">
        <v>0.24229999999999999</v>
      </c>
      <c r="K32" s="93">
        <f t="shared" si="9"/>
        <v>2.4229999999999998E-3</v>
      </c>
      <c r="L32" s="95">
        <f t="shared" si="10"/>
        <v>0.01</v>
      </c>
      <c r="M32" s="79"/>
      <c r="N32" s="78"/>
      <c r="O32" s="78"/>
      <c r="P32" s="78"/>
      <c r="Q32" s="78"/>
    </row>
    <row r="33" spans="1:17" ht="15" customHeight="1">
      <c r="A33" s="78"/>
      <c r="B33" s="91"/>
      <c r="C33" s="34">
        <v>43462</v>
      </c>
      <c r="D33" s="448" t="s">
        <v>1123</v>
      </c>
      <c r="E33" s="365"/>
      <c r="F33" s="92" t="s">
        <v>528</v>
      </c>
      <c r="G33" s="92">
        <v>1</v>
      </c>
      <c r="H33" s="291">
        <v>0.01</v>
      </c>
      <c r="I33" s="93">
        <f t="shared" si="8"/>
        <v>0.01</v>
      </c>
      <c r="J33" s="94">
        <v>0.24229999999999999</v>
      </c>
      <c r="K33" s="93">
        <f t="shared" si="9"/>
        <v>2.4229999999999998E-3</v>
      </c>
      <c r="L33" s="95">
        <f t="shared" si="10"/>
        <v>0.01</v>
      </c>
      <c r="M33" s="79"/>
      <c r="N33" s="78"/>
      <c r="O33" s="78"/>
      <c r="P33" s="78"/>
      <c r="Q33" s="78"/>
    </row>
    <row r="34" spans="1:17" ht="15" customHeight="1">
      <c r="A34" s="78"/>
      <c r="B34" s="91"/>
      <c r="C34" s="34">
        <v>43486</v>
      </c>
      <c r="D34" s="448" t="s">
        <v>1124</v>
      </c>
      <c r="E34" s="365"/>
      <c r="F34" s="92" t="s">
        <v>528</v>
      </c>
      <c r="G34" s="92">
        <v>1</v>
      </c>
      <c r="H34" s="291">
        <v>0.71</v>
      </c>
      <c r="I34" s="93">
        <f t="shared" si="8"/>
        <v>0.71</v>
      </c>
      <c r="J34" s="94">
        <v>0.24229999999999999</v>
      </c>
      <c r="K34" s="93">
        <f t="shared" si="9"/>
        <v>0.17203299999999999</v>
      </c>
      <c r="L34" s="95">
        <f t="shared" si="10"/>
        <v>0.88</v>
      </c>
      <c r="M34" s="79"/>
      <c r="N34" s="78"/>
      <c r="O34" s="78"/>
      <c r="P34" s="78"/>
      <c r="Q34" s="78"/>
    </row>
    <row r="35" spans="1:17" ht="15" customHeight="1">
      <c r="A35" s="78"/>
      <c r="B35" s="91"/>
      <c r="C35" s="34">
        <v>95323</v>
      </c>
      <c r="D35" s="448" t="s">
        <v>1131</v>
      </c>
      <c r="E35" s="365"/>
      <c r="F35" s="92" t="s">
        <v>528</v>
      </c>
      <c r="G35" s="92">
        <v>1</v>
      </c>
      <c r="H35" s="291">
        <v>0.18</v>
      </c>
      <c r="I35" s="93">
        <f t="shared" si="8"/>
        <v>0.18</v>
      </c>
      <c r="J35" s="94">
        <v>0.24229999999999999</v>
      </c>
      <c r="K35" s="93">
        <f t="shared" si="9"/>
        <v>4.3613999999999993E-2</v>
      </c>
      <c r="L35" s="95">
        <f t="shared" si="10"/>
        <v>0.22</v>
      </c>
      <c r="M35" s="79"/>
      <c r="N35" s="78"/>
      <c r="O35" s="78"/>
      <c r="P35" s="78"/>
      <c r="Q35" s="78"/>
    </row>
    <row r="36" spans="1:17" ht="15.75">
      <c r="A36" s="78"/>
      <c r="B36" s="459"/>
      <c r="C36" s="364"/>
      <c r="D36" s="364"/>
      <c r="E36" s="364"/>
      <c r="F36" s="364"/>
      <c r="G36" s="364"/>
      <c r="H36" s="364"/>
      <c r="I36" s="364"/>
      <c r="J36" s="365"/>
      <c r="K36" s="96" t="s">
        <v>526</v>
      </c>
      <c r="L36" s="88">
        <f>SUM(L30:L35)</f>
        <v>28.860000000000003</v>
      </c>
      <c r="M36" s="79"/>
      <c r="N36" s="78"/>
      <c r="O36" s="78"/>
      <c r="P36" s="78"/>
      <c r="Q36" s="78"/>
    </row>
    <row r="37" spans="1:17" ht="15.75">
      <c r="A37" s="78"/>
      <c r="B37" s="89" t="s">
        <v>485</v>
      </c>
      <c r="C37" s="231">
        <v>88326</v>
      </c>
      <c r="D37" s="454" t="s">
        <v>1132</v>
      </c>
      <c r="E37" s="455"/>
      <c r="F37" s="455"/>
      <c r="G37" s="455"/>
      <c r="H37" s="455"/>
      <c r="I37" s="455"/>
      <c r="J37" s="455"/>
      <c r="K37" s="455"/>
      <c r="L37" s="460"/>
      <c r="M37" s="79"/>
      <c r="N37" s="78"/>
      <c r="O37" s="78"/>
      <c r="P37" s="78"/>
      <c r="Q37" s="78"/>
    </row>
    <row r="38" spans="1:17" ht="15" customHeight="1">
      <c r="A38" s="78"/>
      <c r="B38" s="91"/>
      <c r="C38" s="34">
        <v>37370</v>
      </c>
      <c r="D38" s="448" t="s">
        <v>762</v>
      </c>
      <c r="E38" s="365"/>
      <c r="F38" s="92" t="s">
        <v>528</v>
      </c>
      <c r="G38" s="92">
        <v>1</v>
      </c>
      <c r="H38" s="291">
        <v>1.86</v>
      </c>
      <c r="I38" s="93">
        <f t="shared" ref="I38:I45" si="11">G38*H38</f>
        <v>1.86</v>
      </c>
      <c r="J38" s="94">
        <v>0.24229999999999999</v>
      </c>
      <c r="K38" s="93">
        <f t="shared" ref="K38:K45" si="12">I38*J38</f>
        <v>0.45067800000000002</v>
      </c>
      <c r="L38" s="95">
        <f t="shared" ref="L38:L45" si="13">ROUND(I38+K38,2)</f>
        <v>2.31</v>
      </c>
      <c r="M38" s="79"/>
      <c r="N38" s="78"/>
      <c r="O38" s="78"/>
      <c r="P38" s="78"/>
      <c r="Q38" s="78"/>
    </row>
    <row r="39" spans="1:17" ht="15" customHeight="1">
      <c r="A39" s="78"/>
      <c r="B39" s="91"/>
      <c r="C39" s="34">
        <v>37371</v>
      </c>
      <c r="D39" s="448" t="s">
        <v>763</v>
      </c>
      <c r="E39" s="365"/>
      <c r="F39" s="92" t="s">
        <v>528</v>
      </c>
      <c r="G39" s="92">
        <v>1</v>
      </c>
      <c r="H39" s="291">
        <v>0.57999999999999996</v>
      </c>
      <c r="I39" s="93">
        <f t="shared" si="11"/>
        <v>0.57999999999999996</v>
      </c>
      <c r="J39" s="94">
        <v>0.24229999999999999</v>
      </c>
      <c r="K39" s="93">
        <f t="shared" si="12"/>
        <v>0.14053399999999999</v>
      </c>
      <c r="L39" s="95">
        <f t="shared" si="13"/>
        <v>0.72</v>
      </c>
      <c r="M39" s="79"/>
      <c r="N39" s="78"/>
      <c r="O39" s="78"/>
      <c r="P39" s="78"/>
      <c r="Q39" s="78"/>
    </row>
    <row r="40" spans="1:17" ht="15" customHeight="1">
      <c r="A40" s="78"/>
      <c r="B40" s="91"/>
      <c r="C40" s="34">
        <v>37372</v>
      </c>
      <c r="D40" s="448" t="s">
        <v>764</v>
      </c>
      <c r="E40" s="365"/>
      <c r="F40" s="92" t="s">
        <v>528</v>
      </c>
      <c r="G40" s="92">
        <v>1</v>
      </c>
      <c r="H40" s="291">
        <v>1.1399999999999999</v>
      </c>
      <c r="I40" s="93">
        <f t="shared" si="11"/>
        <v>1.1399999999999999</v>
      </c>
      <c r="J40" s="94">
        <v>0.24229999999999999</v>
      </c>
      <c r="K40" s="93">
        <f t="shared" si="12"/>
        <v>0.27622199999999997</v>
      </c>
      <c r="L40" s="95">
        <f t="shared" si="13"/>
        <v>1.42</v>
      </c>
      <c r="M40" s="79"/>
      <c r="N40" s="78"/>
      <c r="O40" s="78"/>
      <c r="P40" s="78"/>
      <c r="Q40" s="78"/>
    </row>
    <row r="41" spans="1:17" ht="15" customHeight="1">
      <c r="A41" s="78"/>
      <c r="B41" s="91"/>
      <c r="C41" s="34">
        <v>37373</v>
      </c>
      <c r="D41" s="448" t="s">
        <v>765</v>
      </c>
      <c r="E41" s="365"/>
      <c r="F41" s="92" t="s">
        <v>528</v>
      </c>
      <c r="G41" s="92">
        <v>1</v>
      </c>
      <c r="H41" s="291">
        <v>0.01</v>
      </c>
      <c r="I41" s="93">
        <f t="shared" si="11"/>
        <v>0.01</v>
      </c>
      <c r="J41" s="94">
        <v>0.24229999999999999</v>
      </c>
      <c r="K41" s="93">
        <f t="shared" si="12"/>
        <v>2.4229999999999998E-3</v>
      </c>
      <c r="L41" s="95">
        <f t="shared" si="13"/>
        <v>0.01</v>
      </c>
      <c r="M41" s="79"/>
      <c r="N41" s="78"/>
      <c r="O41" s="78"/>
      <c r="P41" s="78"/>
      <c r="Q41" s="78"/>
    </row>
    <row r="42" spans="1:17" ht="15" customHeight="1">
      <c r="A42" s="78"/>
      <c r="B42" s="91"/>
      <c r="C42" s="34">
        <v>41776</v>
      </c>
      <c r="D42" s="448" t="s">
        <v>1133</v>
      </c>
      <c r="E42" s="365"/>
      <c r="F42" s="92" t="s">
        <v>528</v>
      </c>
      <c r="G42" s="92">
        <v>1</v>
      </c>
      <c r="H42" s="291">
        <v>16.04</v>
      </c>
      <c r="I42" s="93">
        <f t="shared" ref="I42:I43" si="14">G42*H42</f>
        <v>16.04</v>
      </c>
      <c r="J42" s="94">
        <v>0.24229999999999999</v>
      </c>
      <c r="K42" s="93">
        <f t="shared" ref="K42:K43" si="15">I42*J42</f>
        <v>3.8864919999999996</v>
      </c>
      <c r="L42" s="95">
        <f t="shared" si="13"/>
        <v>19.93</v>
      </c>
      <c r="M42" s="79"/>
      <c r="N42" s="78"/>
      <c r="O42" s="78"/>
      <c r="P42" s="78"/>
      <c r="Q42" s="78"/>
    </row>
    <row r="43" spans="1:17" ht="15" customHeight="1">
      <c r="A43" s="78"/>
      <c r="B43" s="91"/>
      <c r="C43" s="34">
        <v>43467</v>
      </c>
      <c r="D43" s="448" t="s">
        <v>1134</v>
      </c>
      <c r="E43" s="365"/>
      <c r="F43" s="92" t="s">
        <v>528</v>
      </c>
      <c r="G43" s="92">
        <v>1</v>
      </c>
      <c r="H43" s="291">
        <v>0.59</v>
      </c>
      <c r="I43" s="93">
        <f t="shared" si="14"/>
        <v>0.59</v>
      </c>
      <c r="J43" s="94">
        <v>0.24229999999999999</v>
      </c>
      <c r="K43" s="93">
        <f t="shared" si="15"/>
        <v>0.14295699999999997</v>
      </c>
      <c r="L43" s="95">
        <f t="shared" si="13"/>
        <v>0.73</v>
      </c>
      <c r="M43" s="79"/>
      <c r="N43" s="78"/>
      <c r="O43" s="78"/>
      <c r="P43" s="78"/>
      <c r="Q43" s="78"/>
    </row>
    <row r="44" spans="1:17" ht="15" customHeight="1">
      <c r="A44" s="78"/>
      <c r="B44" s="91"/>
      <c r="C44" s="34">
        <v>43491</v>
      </c>
      <c r="D44" s="448" t="s">
        <v>1135</v>
      </c>
      <c r="E44" s="365"/>
      <c r="F44" s="92" t="s">
        <v>528</v>
      </c>
      <c r="G44" s="92">
        <v>1</v>
      </c>
      <c r="H44" s="291">
        <v>1.25</v>
      </c>
      <c r="I44" s="93">
        <f t="shared" si="11"/>
        <v>1.25</v>
      </c>
      <c r="J44" s="94">
        <v>0.24229999999999999</v>
      </c>
      <c r="K44" s="93">
        <f t="shared" si="12"/>
        <v>0.30287500000000001</v>
      </c>
      <c r="L44" s="95">
        <f t="shared" si="13"/>
        <v>1.55</v>
      </c>
      <c r="M44" s="79"/>
      <c r="N44" s="78"/>
      <c r="O44" s="78"/>
      <c r="P44" s="78"/>
      <c r="Q44" s="78"/>
    </row>
    <row r="45" spans="1:17" ht="15" customHeight="1">
      <c r="A45" s="78"/>
      <c r="B45" s="91"/>
      <c r="C45" s="34">
        <v>95388</v>
      </c>
      <c r="D45" s="448" t="s">
        <v>1136</v>
      </c>
      <c r="E45" s="365"/>
      <c r="F45" s="92" t="s">
        <v>528</v>
      </c>
      <c r="G45" s="92">
        <v>1</v>
      </c>
      <c r="H45" s="291">
        <v>0.08</v>
      </c>
      <c r="I45" s="93">
        <f t="shared" si="11"/>
        <v>0.08</v>
      </c>
      <c r="J45" s="94">
        <v>0.24229999999999999</v>
      </c>
      <c r="K45" s="93">
        <f t="shared" si="12"/>
        <v>1.9383999999999998E-2</v>
      </c>
      <c r="L45" s="95">
        <f t="shared" si="13"/>
        <v>0.1</v>
      </c>
      <c r="M45" s="79"/>
      <c r="N45" s="78"/>
      <c r="O45" s="78"/>
      <c r="P45" s="78"/>
      <c r="Q45" s="78"/>
    </row>
    <row r="46" spans="1:17" ht="15.75">
      <c r="A46" s="78"/>
      <c r="B46" s="459"/>
      <c r="C46" s="364"/>
      <c r="D46" s="364"/>
      <c r="E46" s="364"/>
      <c r="F46" s="364"/>
      <c r="G46" s="364"/>
      <c r="H46" s="364"/>
      <c r="I46" s="364"/>
      <c r="J46" s="365"/>
      <c r="K46" s="96" t="s">
        <v>526</v>
      </c>
      <c r="L46" s="88">
        <f>SUM(L38:L45)</f>
        <v>26.770000000000003</v>
      </c>
      <c r="M46" s="79"/>
      <c r="N46" s="78"/>
      <c r="O46" s="78"/>
      <c r="P46" s="78"/>
      <c r="Q46" s="78"/>
    </row>
    <row r="47" spans="1:17" ht="15.75">
      <c r="A47" s="78"/>
      <c r="B47" s="89" t="s">
        <v>660</v>
      </c>
      <c r="C47" s="231">
        <v>98458</v>
      </c>
      <c r="D47" s="450" t="s">
        <v>1114</v>
      </c>
      <c r="E47" s="364"/>
      <c r="F47" s="364"/>
      <c r="G47" s="364"/>
      <c r="H47" s="364"/>
      <c r="I47" s="364"/>
      <c r="J47" s="364"/>
      <c r="K47" s="364"/>
      <c r="L47" s="428"/>
      <c r="M47" s="79"/>
      <c r="N47" s="78"/>
      <c r="O47" s="78"/>
      <c r="P47" s="78"/>
      <c r="Q47" s="78"/>
    </row>
    <row r="48" spans="1:17" ht="15" customHeight="1">
      <c r="A48" s="78"/>
      <c r="B48" s="91"/>
      <c r="C48" s="35">
        <v>3992</v>
      </c>
      <c r="D48" s="448" t="s">
        <v>1137</v>
      </c>
      <c r="E48" s="449"/>
      <c r="F48" s="35" t="s">
        <v>486</v>
      </c>
      <c r="G48" s="92">
        <v>1.6922999999999999</v>
      </c>
      <c r="H48" s="291">
        <v>33.18</v>
      </c>
      <c r="I48" s="100">
        <f t="shared" ref="I48:I56" si="16">G48*H48</f>
        <v>56.150513999999994</v>
      </c>
      <c r="J48" s="94">
        <v>0.24229999999999999</v>
      </c>
      <c r="K48" s="100">
        <f t="shared" ref="K48:K56" si="17">I48*J48</f>
        <v>13.605269542199999</v>
      </c>
      <c r="L48" s="95">
        <f t="shared" ref="L48:L56" si="18">ROUND(I48+K48,2)</f>
        <v>69.760000000000005</v>
      </c>
      <c r="M48" s="79"/>
      <c r="N48" s="78"/>
      <c r="O48" s="78"/>
      <c r="P48" s="78"/>
      <c r="Q48" s="78"/>
    </row>
    <row r="49" spans="1:17" ht="15" customHeight="1">
      <c r="A49" s="78"/>
      <c r="B49" s="91"/>
      <c r="C49" s="35">
        <v>4433</v>
      </c>
      <c r="D49" s="448" t="s">
        <v>1138</v>
      </c>
      <c r="E49" s="449"/>
      <c r="F49" s="35" t="s">
        <v>486</v>
      </c>
      <c r="G49" s="92">
        <v>1.2273000000000001</v>
      </c>
      <c r="H49" s="291">
        <v>27.96</v>
      </c>
      <c r="I49" s="100">
        <f t="shared" si="16"/>
        <v>34.315308000000002</v>
      </c>
      <c r="J49" s="94">
        <v>0.24229999999999999</v>
      </c>
      <c r="K49" s="100">
        <f t="shared" si="17"/>
        <v>8.3145991283999994</v>
      </c>
      <c r="L49" s="95">
        <f t="shared" si="18"/>
        <v>42.63</v>
      </c>
      <c r="M49" s="79"/>
      <c r="N49" s="78"/>
      <c r="O49" s="78"/>
      <c r="P49" s="78"/>
      <c r="Q49" s="78"/>
    </row>
    <row r="50" spans="1:17" ht="15" customHeight="1">
      <c r="A50" s="78"/>
      <c r="B50" s="91"/>
      <c r="C50" s="35">
        <v>5061</v>
      </c>
      <c r="D50" s="448" t="s">
        <v>1139</v>
      </c>
      <c r="E50" s="449"/>
      <c r="F50" s="35" t="s">
        <v>500</v>
      </c>
      <c r="G50" s="92">
        <v>4.2799999999999998E-2</v>
      </c>
      <c r="H50" s="291">
        <v>19.350000000000001</v>
      </c>
      <c r="I50" s="100">
        <f t="shared" si="16"/>
        <v>0.82818000000000003</v>
      </c>
      <c r="J50" s="94">
        <v>0.24229999999999999</v>
      </c>
      <c r="K50" s="100">
        <f t="shared" si="17"/>
        <v>0.20066801400000001</v>
      </c>
      <c r="L50" s="95">
        <f t="shared" si="18"/>
        <v>1.03</v>
      </c>
      <c r="M50" s="79"/>
      <c r="N50" s="78"/>
      <c r="O50" s="78"/>
      <c r="P50" s="78"/>
      <c r="Q50" s="78"/>
    </row>
    <row r="51" spans="1:17" ht="15" customHeight="1">
      <c r="A51" s="78"/>
      <c r="B51" s="91"/>
      <c r="C51" s="35">
        <v>43681</v>
      </c>
      <c r="D51" s="448" t="s">
        <v>1140</v>
      </c>
      <c r="E51" s="449"/>
      <c r="F51" s="35" t="s">
        <v>487</v>
      </c>
      <c r="G51" s="92">
        <v>1.050038</v>
      </c>
      <c r="H51" s="291">
        <v>38.01</v>
      </c>
      <c r="I51" s="100">
        <f t="shared" si="16"/>
        <v>39.911944380000001</v>
      </c>
      <c r="J51" s="94">
        <v>0.24229999999999999</v>
      </c>
      <c r="K51" s="100">
        <f t="shared" si="17"/>
        <v>9.6706641232739994</v>
      </c>
      <c r="L51" s="95">
        <f t="shared" si="18"/>
        <v>49.58</v>
      </c>
      <c r="M51" s="79"/>
      <c r="N51" s="78"/>
      <c r="O51" s="78"/>
      <c r="P51" s="78"/>
      <c r="Q51" s="78"/>
    </row>
    <row r="52" spans="1:17" ht="15" customHeight="1">
      <c r="A52" s="78"/>
      <c r="B52" s="91"/>
      <c r="C52" s="35">
        <v>88239</v>
      </c>
      <c r="D52" s="448" t="s">
        <v>531</v>
      </c>
      <c r="E52" s="449"/>
      <c r="F52" s="35" t="s">
        <v>528</v>
      </c>
      <c r="G52" s="92">
        <v>0.20419999999999999</v>
      </c>
      <c r="H52" s="291">
        <v>17.940000000000001</v>
      </c>
      <c r="I52" s="100">
        <f t="shared" si="16"/>
        <v>3.663348</v>
      </c>
      <c r="J52" s="94">
        <v>0.24229999999999999</v>
      </c>
      <c r="K52" s="100">
        <f t="shared" si="17"/>
        <v>0.88762922039999992</v>
      </c>
      <c r="L52" s="95">
        <f t="shared" si="18"/>
        <v>4.55</v>
      </c>
      <c r="M52" s="79"/>
      <c r="N52" s="78"/>
      <c r="O52" s="78"/>
      <c r="P52" s="78"/>
      <c r="Q52" s="78"/>
    </row>
    <row r="53" spans="1:17" ht="15" customHeight="1">
      <c r="A53" s="78"/>
      <c r="B53" s="91"/>
      <c r="C53" s="35">
        <v>88262</v>
      </c>
      <c r="D53" s="448" t="s">
        <v>527</v>
      </c>
      <c r="E53" s="449"/>
      <c r="F53" s="35" t="s">
        <v>528</v>
      </c>
      <c r="G53" s="92">
        <v>0.61270000000000002</v>
      </c>
      <c r="H53" s="291">
        <v>22.17</v>
      </c>
      <c r="I53" s="100">
        <f t="shared" si="16"/>
        <v>13.583559000000001</v>
      </c>
      <c r="J53" s="94">
        <v>0.24229999999999999</v>
      </c>
      <c r="K53" s="100">
        <f t="shared" si="17"/>
        <v>3.2912963457000002</v>
      </c>
      <c r="L53" s="95">
        <f t="shared" si="18"/>
        <v>16.87</v>
      </c>
      <c r="M53" s="79"/>
      <c r="N53" s="78"/>
      <c r="O53" s="78"/>
      <c r="P53" s="78"/>
      <c r="Q53" s="78"/>
    </row>
    <row r="54" spans="1:17" ht="15" customHeight="1">
      <c r="A54" s="78"/>
      <c r="B54" s="91"/>
      <c r="C54" s="35">
        <v>91692</v>
      </c>
      <c r="D54" s="448" t="s">
        <v>1141</v>
      </c>
      <c r="E54" s="449"/>
      <c r="F54" s="35" t="s">
        <v>497</v>
      </c>
      <c r="G54" s="92">
        <v>4.4000000000000003E-3</v>
      </c>
      <c r="H54" s="291">
        <v>18</v>
      </c>
      <c r="I54" s="100">
        <f t="shared" si="16"/>
        <v>7.9200000000000007E-2</v>
      </c>
      <c r="J54" s="94">
        <v>0.24229999999999999</v>
      </c>
      <c r="K54" s="100">
        <f t="shared" si="17"/>
        <v>1.9190160000000001E-2</v>
      </c>
      <c r="L54" s="95">
        <f t="shared" si="18"/>
        <v>0.1</v>
      </c>
      <c r="M54" s="79"/>
      <c r="N54" s="78"/>
      <c r="O54" s="78"/>
      <c r="P54" s="78"/>
      <c r="Q54" s="78"/>
    </row>
    <row r="55" spans="1:17" ht="15" customHeight="1">
      <c r="A55" s="78"/>
      <c r="B55" s="91"/>
      <c r="C55" s="35">
        <v>91693</v>
      </c>
      <c r="D55" s="448" t="s">
        <v>1142</v>
      </c>
      <c r="E55" s="449"/>
      <c r="F55" s="35" t="s">
        <v>532</v>
      </c>
      <c r="G55" s="92">
        <v>1.9099999999999999E-2</v>
      </c>
      <c r="H55" s="291">
        <v>16.8</v>
      </c>
      <c r="I55" s="100">
        <f t="shared" si="16"/>
        <v>0.32088</v>
      </c>
      <c r="J55" s="94">
        <v>0.24229999999999999</v>
      </c>
      <c r="K55" s="100">
        <f t="shared" si="17"/>
        <v>7.7749223999999992E-2</v>
      </c>
      <c r="L55" s="95">
        <f t="shared" si="18"/>
        <v>0.4</v>
      </c>
      <c r="M55" s="79"/>
      <c r="N55" s="78"/>
      <c r="O55" s="78"/>
      <c r="P55" s="78"/>
      <c r="Q55" s="78"/>
    </row>
    <row r="56" spans="1:17" ht="15" customHeight="1">
      <c r="A56" s="78"/>
      <c r="B56" s="91"/>
      <c r="C56" s="35">
        <v>94974</v>
      </c>
      <c r="D56" s="448" t="s">
        <v>1143</v>
      </c>
      <c r="E56" s="449"/>
      <c r="F56" s="35" t="s">
        <v>501</v>
      </c>
      <c r="G56" s="92">
        <v>1.5E-3</v>
      </c>
      <c r="H56" s="291">
        <v>394.9</v>
      </c>
      <c r="I56" s="100">
        <f t="shared" si="16"/>
        <v>0.59234999999999993</v>
      </c>
      <c r="J56" s="94">
        <v>0.24229999999999999</v>
      </c>
      <c r="K56" s="100">
        <f t="shared" si="17"/>
        <v>0.14352640499999997</v>
      </c>
      <c r="L56" s="95">
        <f t="shared" si="18"/>
        <v>0.74</v>
      </c>
      <c r="M56" s="79"/>
      <c r="N56" s="78"/>
      <c r="O56" s="78"/>
      <c r="P56" s="78"/>
      <c r="Q56" s="78"/>
    </row>
    <row r="57" spans="1:17" ht="15.75">
      <c r="A57" s="78"/>
      <c r="B57" s="459"/>
      <c r="C57" s="482"/>
      <c r="D57" s="482"/>
      <c r="E57" s="482"/>
      <c r="F57" s="482"/>
      <c r="G57" s="482"/>
      <c r="H57" s="482"/>
      <c r="I57" s="482"/>
      <c r="J57" s="483"/>
      <c r="K57" s="96" t="s">
        <v>526</v>
      </c>
      <c r="L57" s="88">
        <f>SUM(L48:L56)</f>
        <v>185.66000000000003</v>
      </c>
      <c r="M57" s="79"/>
      <c r="N57" s="78"/>
      <c r="O57" s="78"/>
      <c r="P57" s="78"/>
      <c r="Q57" s="78"/>
    </row>
    <row r="58" spans="1:17" ht="15.75">
      <c r="A58" s="78"/>
      <c r="B58" s="89" t="s">
        <v>683</v>
      </c>
      <c r="C58" s="231" t="s">
        <v>1115</v>
      </c>
      <c r="D58" s="450" t="s">
        <v>1116</v>
      </c>
      <c r="E58" s="364"/>
      <c r="F58" s="364"/>
      <c r="G58" s="364"/>
      <c r="H58" s="364"/>
      <c r="I58" s="364"/>
      <c r="J58" s="364"/>
      <c r="K58" s="364"/>
      <c r="L58" s="428"/>
      <c r="M58" s="79"/>
      <c r="N58" s="78"/>
      <c r="O58" s="78"/>
      <c r="P58" s="78"/>
      <c r="Q58" s="78"/>
    </row>
    <row r="59" spans="1:17">
      <c r="A59" s="78"/>
      <c r="B59" s="91"/>
      <c r="C59" s="35" t="s">
        <v>1144</v>
      </c>
      <c r="D59" s="448" t="s">
        <v>1145</v>
      </c>
      <c r="E59" s="365"/>
      <c r="F59" s="35" t="s">
        <v>849</v>
      </c>
      <c r="G59" s="92">
        <v>0.1613</v>
      </c>
      <c r="H59" s="93">
        <v>19.23</v>
      </c>
      <c r="I59" s="100">
        <f t="shared" ref="I59:I66" si="19">G59*H59</f>
        <v>3.1017990000000002</v>
      </c>
      <c r="J59" s="94">
        <v>0.24229999999999999</v>
      </c>
      <c r="K59" s="100">
        <f t="shared" ref="K59:K66" si="20">I59*J59</f>
        <v>0.75156589770000004</v>
      </c>
      <c r="L59" s="95">
        <f t="shared" ref="L59:L66" si="21">ROUND(I59+K59,2)</f>
        <v>3.85</v>
      </c>
      <c r="M59" s="79"/>
      <c r="N59" s="78"/>
      <c r="O59" s="78"/>
      <c r="P59" s="78"/>
      <c r="Q59" s="78"/>
    </row>
    <row r="60" spans="1:17">
      <c r="A60" s="78"/>
      <c r="B60" s="91"/>
      <c r="C60" s="35" t="s">
        <v>1146</v>
      </c>
      <c r="D60" s="448" t="s">
        <v>1147</v>
      </c>
      <c r="E60" s="365"/>
      <c r="F60" s="35" t="s">
        <v>855</v>
      </c>
      <c r="G60" s="92">
        <v>0.1</v>
      </c>
      <c r="H60" s="93">
        <v>8.57</v>
      </c>
      <c r="I60" s="100">
        <f t="shared" si="19"/>
        <v>0.8570000000000001</v>
      </c>
      <c r="J60" s="94">
        <v>0.24229999999999999</v>
      </c>
      <c r="K60" s="100">
        <f t="shared" si="20"/>
        <v>0.20765110000000001</v>
      </c>
      <c r="L60" s="95">
        <f t="shared" si="21"/>
        <v>1.06</v>
      </c>
      <c r="M60" s="79"/>
      <c r="N60" s="78"/>
      <c r="O60" s="78"/>
      <c r="P60" s="78"/>
      <c r="Q60" s="78"/>
    </row>
    <row r="61" spans="1:17">
      <c r="A61" s="78"/>
      <c r="B61" s="91"/>
      <c r="C61" s="35" t="s">
        <v>1148</v>
      </c>
      <c r="D61" s="448" t="s">
        <v>1149</v>
      </c>
      <c r="E61" s="365"/>
      <c r="F61" s="35" t="s">
        <v>876</v>
      </c>
      <c r="G61" s="92">
        <v>0.5</v>
      </c>
      <c r="H61" s="93">
        <v>26.98</v>
      </c>
      <c r="I61" s="100">
        <f t="shared" si="19"/>
        <v>13.49</v>
      </c>
      <c r="J61" s="94">
        <v>0.24229999999999999</v>
      </c>
      <c r="K61" s="100">
        <f t="shared" si="20"/>
        <v>3.2686269999999999</v>
      </c>
      <c r="L61" s="95">
        <f t="shared" si="21"/>
        <v>16.760000000000002</v>
      </c>
      <c r="M61" s="79"/>
      <c r="N61" s="78"/>
      <c r="O61" s="78"/>
      <c r="P61" s="78"/>
      <c r="Q61" s="78"/>
    </row>
    <row r="62" spans="1:17">
      <c r="A62" s="78"/>
      <c r="B62" s="91"/>
      <c r="C62" s="35" t="s">
        <v>741</v>
      </c>
      <c r="D62" s="448" t="s">
        <v>742</v>
      </c>
      <c r="E62" s="365"/>
      <c r="F62" s="35" t="s">
        <v>855</v>
      </c>
      <c r="G62" s="92">
        <v>0.1</v>
      </c>
      <c r="H62" s="93">
        <v>6</v>
      </c>
      <c r="I62" s="100">
        <f t="shared" si="19"/>
        <v>0.60000000000000009</v>
      </c>
      <c r="J62" s="94">
        <v>0.24229999999999999</v>
      </c>
      <c r="K62" s="100">
        <f t="shared" si="20"/>
        <v>0.14538000000000001</v>
      </c>
      <c r="L62" s="95">
        <f t="shared" si="21"/>
        <v>0.75</v>
      </c>
      <c r="M62" s="79"/>
      <c r="N62" s="78"/>
      <c r="O62" s="78"/>
      <c r="P62" s="78"/>
      <c r="Q62" s="78"/>
    </row>
    <row r="63" spans="1:17">
      <c r="A63" s="78"/>
      <c r="B63" s="91"/>
      <c r="C63" s="35" t="s">
        <v>1150</v>
      </c>
      <c r="D63" s="448" t="s">
        <v>1151</v>
      </c>
      <c r="E63" s="365"/>
      <c r="F63" s="35" t="s">
        <v>876</v>
      </c>
      <c r="G63" s="92">
        <v>0.35</v>
      </c>
      <c r="H63" s="93">
        <v>1.99</v>
      </c>
      <c r="I63" s="100">
        <f t="shared" si="19"/>
        <v>0.69650000000000001</v>
      </c>
      <c r="J63" s="94">
        <v>0.24229999999999999</v>
      </c>
      <c r="K63" s="100">
        <f t="shared" si="20"/>
        <v>0.16876194999999999</v>
      </c>
      <c r="L63" s="95">
        <f t="shared" si="21"/>
        <v>0.87</v>
      </c>
      <c r="M63" s="79"/>
      <c r="N63" s="78"/>
      <c r="O63" s="78"/>
      <c r="P63" s="78"/>
      <c r="Q63" s="78"/>
    </row>
    <row r="64" spans="1:17">
      <c r="A64" s="78"/>
      <c r="B64" s="91"/>
      <c r="C64" s="35" t="s">
        <v>745</v>
      </c>
      <c r="D64" s="448" t="s">
        <v>746</v>
      </c>
      <c r="E64" s="365"/>
      <c r="F64" s="35" t="s">
        <v>855</v>
      </c>
      <c r="G64" s="92">
        <v>0.1</v>
      </c>
      <c r="H64" s="93">
        <v>3.8</v>
      </c>
      <c r="I64" s="100">
        <f t="shared" si="19"/>
        <v>0.38</v>
      </c>
      <c r="J64" s="94">
        <v>0.24229999999999999</v>
      </c>
      <c r="K64" s="100">
        <f t="shared" si="20"/>
        <v>9.2074000000000003E-2</v>
      </c>
      <c r="L64" s="95">
        <f t="shared" si="21"/>
        <v>0.47</v>
      </c>
      <c r="M64" s="79"/>
      <c r="N64" s="78"/>
      <c r="O64" s="78"/>
      <c r="P64" s="78"/>
      <c r="Q64" s="78"/>
    </row>
    <row r="65" spans="1:17">
      <c r="A65" s="78"/>
      <c r="B65" s="91"/>
      <c r="C65" s="35" t="s">
        <v>1152</v>
      </c>
      <c r="D65" s="448" t="s">
        <v>1153</v>
      </c>
      <c r="E65" s="365"/>
      <c r="F65" s="35" t="s">
        <v>855</v>
      </c>
      <c r="G65" s="92">
        <v>0.1</v>
      </c>
      <c r="H65" s="93">
        <v>3.68</v>
      </c>
      <c r="I65" s="100">
        <f t="shared" si="19"/>
        <v>0.36800000000000005</v>
      </c>
      <c r="J65" s="94">
        <v>0.24229999999999999</v>
      </c>
      <c r="K65" s="100">
        <f t="shared" si="20"/>
        <v>8.9166400000000007E-2</v>
      </c>
      <c r="L65" s="95">
        <f t="shared" si="21"/>
        <v>0.46</v>
      </c>
      <c r="M65" s="79"/>
      <c r="N65" s="78"/>
      <c r="O65" s="78"/>
      <c r="P65" s="78"/>
      <c r="Q65" s="78"/>
    </row>
    <row r="66" spans="1:17">
      <c r="A66" s="78"/>
      <c r="B66" s="91"/>
      <c r="C66" s="35"/>
      <c r="D66" s="179" t="s">
        <v>1154</v>
      </c>
      <c r="E66" s="204"/>
      <c r="F66" s="35" t="s">
        <v>709</v>
      </c>
      <c r="G66" s="92">
        <v>1</v>
      </c>
      <c r="H66" s="93">
        <v>1.62</v>
      </c>
      <c r="I66" s="100">
        <f t="shared" si="19"/>
        <v>1.62</v>
      </c>
      <c r="J66" s="94">
        <v>0.24229999999999999</v>
      </c>
      <c r="K66" s="100">
        <f t="shared" si="20"/>
        <v>0.39252599999999999</v>
      </c>
      <c r="L66" s="95">
        <f t="shared" si="21"/>
        <v>2.0099999999999998</v>
      </c>
      <c r="M66" s="79"/>
      <c r="N66" s="78"/>
      <c r="O66" s="78"/>
      <c r="P66" s="78"/>
      <c r="Q66" s="78"/>
    </row>
    <row r="67" spans="1:17" ht="15.75">
      <c r="A67" s="78"/>
      <c r="B67" s="459"/>
      <c r="C67" s="364"/>
      <c r="D67" s="364"/>
      <c r="E67" s="364"/>
      <c r="F67" s="364"/>
      <c r="G67" s="364"/>
      <c r="H67" s="364"/>
      <c r="I67" s="364"/>
      <c r="J67" s="365"/>
      <c r="K67" s="96" t="s">
        <v>526</v>
      </c>
      <c r="L67" s="88">
        <f>SUM(L59:L66)</f>
        <v>26.230000000000004</v>
      </c>
      <c r="M67" s="79"/>
      <c r="N67" s="78"/>
      <c r="O67" s="78"/>
      <c r="P67" s="78"/>
      <c r="Q67" s="78"/>
    </row>
    <row r="68" spans="1:17" ht="15.75">
      <c r="A68" s="78"/>
      <c r="B68" s="97" t="s">
        <v>692</v>
      </c>
      <c r="C68" s="233" t="s">
        <v>1117</v>
      </c>
      <c r="D68" s="450" t="s">
        <v>1118</v>
      </c>
      <c r="E68" s="457"/>
      <c r="F68" s="457"/>
      <c r="G68" s="457"/>
      <c r="H68" s="457"/>
      <c r="I68" s="457"/>
      <c r="J68" s="457"/>
      <c r="K68" s="457"/>
      <c r="L68" s="458"/>
      <c r="M68" s="79"/>
      <c r="N68" s="78"/>
      <c r="O68" s="78"/>
      <c r="P68" s="78"/>
      <c r="Q68" s="78"/>
    </row>
    <row r="69" spans="1:17">
      <c r="A69" s="78"/>
      <c r="B69" s="33"/>
      <c r="C69" s="35" t="s">
        <v>1155</v>
      </c>
      <c r="D69" s="448" t="s">
        <v>1156</v>
      </c>
      <c r="E69" s="365"/>
      <c r="F69" s="35" t="s">
        <v>481</v>
      </c>
      <c r="G69" s="92">
        <v>1</v>
      </c>
      <c r="H69" s="100">
        <v>1600</v>
      </c>
      <c r="I69" s="100">
        <f>G69*H69</f>
        <v>1600</v>
      </c>
      <c r="J69" s="94">
        <v>0.24229999999999999</v>
      </c>
      <c r="K69" s="100">
        <f>I69*J69</f>
        <v>387.68</v>
      </c>
      <c r="L69" s="95">
        <f t="shared" ref="L69" si="22">ROUND(I69+K69,2)</f>
        <v>1987.68</v>
      </c>
      <c r="M69" s="79"/>
      <c r="N69" s="78"/>
      <c r="O69" s="78"/>
      <c r="P69" s="78"/>
      <c r="Q69" s="78"/>
    </row>
    <row r="70" spans="1:17" ht="15.75">
      <c r="A70" s="78"/>
      <c r="B70" s="456"/>
      <c r="C70" s="364"/>
      <c r="D70" s="364"/>
      <c r="E70" s="364"/>
      <c r="F70" s="364"/>
      <c r="G70" s="364"/>
      <c r="H70" s="364"/>
      <c r="I70" s="364"/>
      <c r="J70" s="365"/>
      <c r="K70" s="103" t="s">
        <v>526</v>
      </c>
      <c r="L70" s="104">
        <f>SUM(L69)</f>
        <v>1987.68</v>
      </c>
      <c r="M70" s="79"/>
      <c r="N70" s="78"/>
      <c r="O70" s="78"/>
      <c r="P70" s="78"/>
      <c r="Q70" s="78"/>
    </row>
    <row r="71" spans="1:17" ht="15.75">
      <c r="A71" s="78"/>
      <c r="B71" s="89" t="s">
        <v>693</v>
      </c>
      <c r="C71" s="90"/>
      <c r="D71" s="450" t="s">
        <v>1120</v>
      </c>
      <c r="E71" s="457"/>
      <c r="F71" s="457"/>
      <c r="G71" s="457"/>
      <c r="H71" s="457"/>
      <c r="I71" s="457"/>
      <c r="J71" s="457"/>
      <c r="K71" s="457"/>
      <c r="L71" s="458"/>
      <c r="M71" s="79"/>
      <c r="N71" s="78"/>
      <c r="O71" s="78"/>
      <c r="P71" s="78"/>
      <c r="Q71" s="78"/>
    </row>
    <row r="72" spans="1:17">
      <c r="A72" s="78"/>
      <c r="B72" s="91"/>
      <c r="C72" s="291" t="s">
        <v>1157</v>
      </c>
      <c r="D72" s="448" t="s">
        <v>1158</v>
      </c>
      <c r="E72" s="449"/>
      <c r="F72" s="291" t="s">
        <v>486</v>
      </c>
      <c r="G72" s="92">
        <v>4</v>
      </c>
      <c r="H72" s="93">
        <v>9.25</v>
      </c>
      <c r="I72" s="93">
        <f t="shared" ref="I72:I80" si="23">G72*H72</f>
        <v>37</v>
      </c>
      <c r="J72" s="94">
        <v>0.24229999999999999</v>
      </c>
      <c r="K72" s="93">
        <f t="shared" ref="K72:K80" si="24">I72*J72</f>
        <v>8.9650999999999996</v>
      </c>
      <c r="L72" s="95">
        <f t="shared" ref="L72:L80" si="25">ROUND(I72+K72,2)</f>
        <v>45.97</v>
      </c>
      <c r="M72" s="79"/>
      <c r="N72" s="78"/>
      <c r="O72" s="78"/>
      <c r="P72" s="78"/>
      <c r="Q72" s="78"/>
    </row>
    <row r="73" spans="1:17">
      <c r="A73" s="78"/>
      <c r="B73" s="91"/>
      <c r="C73" s="291" t="s">
        <v>1159</v>
      </c>
      <c r="D73" s="448" t="s">
        <v>1160</v>
      </c>
      <c r="E73" s="449"/>
      <c r="F73" s="291" t="s">
        <v>486</v>
      </c>
      <c r="G73" s="92">
        <v>1</v>
      </c>
      <c r="H73" s="93">
        <v>3.49</v>
      </c>
      <c r="I73" s="93">
        <f t="shared" si="23"/>
        <v>3.49</v>
      </c>
      <c r="J73" s="94">
        <v>0.24229999999999999</v>
      </c>
      <c r="K73" s="93">
        <f t="shared" si="24"/>
        <v>0.84562700000000002</v>
      </c>
      <c r="L73" s="95">
        <f t="shared" si="25"/>
        <v>4.34</v>
      </c>
      <c r="M73" s="79"/>
      <c r="N73" s="78"/>
      <c r="O73" s="78"/>
      <c r="P73" s="78"/>
      <c r="Q73" s="78"/>
    </row>
    <row r="74" spans="1:17">
      <c r="A74" s="78"/>
      <c r="B74" s="91"/>
      <c r="C74" s="291" t="s">
        <v>1161</v>
      </c>
      <c r="D74" s="448" t="s">
        <v>1162</v>
      </c>
      <c r="E74" s="449"/>
      <c r="F74" s="291" t="s">
        <v>484</v>
      </c>
      <c r="G74" s="92">
        <v>1</v>
      </c>
      <c r="H74" s="93">
        <v>262.5</v>
      </c>
      <c r="I74" s="93">
        <f t="shared" si="23"/>
        <v>262.5</v>
      </c>
      <c r="J74" s="94">
        <v>0.24229999999999999</v>
      </c>
      <c r="K74" s="93">
        <f t="shared" si="24"/>
        <v>63.603749999999998</v>
      </c>
      <c r="L74" s="95">
        <f t="shared" si="25"/>
        <v>326.10000000000002</v>
      </c>
      <c r="M74" s="79"/>
      <c r="N74" s="78"/>
      <c r="O74" s="78"/>
      <c r="P74" s="78"/>
      <c r="Q74" s="78"/>
    </row>
    <row r="75" spans="1:17">
      <c r="A75" s="78"/>
      <c r="B75" s="91"/>
      <c r="C75" s="291" t="s">
        <v>1163</v>
      </c>
      <c r="D75" s="448" t="s">
        <v>1164</v>
      </c>
      <c r="E75" s="449"/>
      <c r="F75" s="92" t="s">
        <v>500</v>
      </c>
      <c r="G75" s="92">
        <v>0.15</v>
      </c>
      <c r="H75" s="93">
        <v>19.23</v>
      </c>
      <c r="I75" s="93">
        <f t="shared" si="23"/>
        <v>2.8845000000000001</v>
      </c>
      <c r="J75" s="94">
        <v>0.24229999999999999</v>
      </c>
      <c r="K75" s="93">
        <f t="shared" si="24"/>
        <v>0.69891435000000002</v>
      </c>
      <c r="L75" s="95">
        <f t="shared" si="25"/>
        <v>3.58</v>
      </c>
      <c r="M75" s="79"/>
      <c r="N75" s="78"/>
      <c r="O75" s="78"/>
      <c r="P75" s="78"/>
      <c r="Q75" s="78"/>
    </row>
    <row r="76" spans="1:17">
      <c r="A76" s="78"/>
      <c r="B76" s="91"/>
      <c r="C76" s="291" t="s">
        <v>1146</v>
      </c>
      <c r="D76" s="448" t="s">
        <v>1147</v>
      </c>
      <c r="E76" s="449"/>
      <c r="F76" s="92" t="s">
        <v>528</v>
      </c>
      <c r="G76" s="92">
        <v>1</v>
      </c>
      <c r="H76" s="93">
        <v>8.57</v>
      </c>
      <c r="I76" s="93">
        <f t="shared" si="23"/>
        <v>8.57</v>
      </c>
      <c r="J76" s="94">
        <v>0.24229999999999999</v>
      </c>
      <c r="K76" s="93">
        <f t="shared" si="24"/>
        <v>2.076511</v>
      </c>
      <c r="L76" s="95">
        <f t="shared" si="25"/>
        <v>10.65</v>
      </c>
      <c r="M76" s="79"/>
      <c r="N76" s="78"/>
      <c r="O76" s="78"/>
      <c r="P76" s="78"/>
      <c r="Q76" s="78"/>
    </row>
    <row r="77" spans="1:17">
      <c r="A77" s="78"/>
      <c r="B77" s="91"/>
      <c r="C77" s="291" t="s">
        <v>741</v>
      </c>
      <c r="D77" s="448" t="s">
        <v>742</v>
      </c>
      <c r="E77" s="449"/>
      <c r="F77" s="92" t="s">
        <v>528</v>
      </c>
      <c r="G77" s="92">
        <v>2</v>
      </c>
      <c r="H77" s="93">
        <v>6</v>
      </c>
      <c r="I77" s="93">
        <f t="shared" si="23"/>
        <v>12</v>
      </c>
      <c r="J77" s="94">
        <v>0.24229999999999999</v>
      </c>
      <c r="K77" s="93">
        <f t="shared" si="24"/>
        <v>2.9076</v>
      </c>
      <c r="L77" s="95">
        <f t="shared" si="25"/>
        <v>14.91</v>
      </c>
      <c r="M77" s="79"/>
      <c r="N77" s="78"/>
      <c r="O77" s="78"/>
      <c r="P77" s="78"/>
      <c r="Q77" s="78"/>
    </row>
    <row r="78" spans="1:17">
      <c r="A78" s="78"/>
      <c r="B78" s="91"/>
      <c r="C78" s="291" t="s">
        <v>745</v>
      </c>
      <c r="D78" s="448" t="s">
        <v>746</v>
      </c>
      <c r="E78" s="449"/>
      <c r="F78" s="92" t="s">
        <v>528</v>
      </c>
      <c r="G78" s="92">
        <v>2</v>
      </c>
      <c r="H78" s="93">
        <v>3.8</v>
      </c>
      <c r="I78" s="93">
        <f t="shared" si="23"/>
        <v>7.6</v>
      </c>
      <c r="J78" s="94">
        <v>0.24229999999999999</v>
      </c>
      <c r="K78" s="93">
        <f t="shared" si="24"/>
        <v>1.8414799999999998</v>
      </c>
      <c r="L78" s="95">
        <f t="shared" si="25"/>
        <v>9.44</v>
      </c>
      <c r="M78" s="79"/>
      <c r="N78" s="78"/>
      <c r="O78" s="78"/>
      <c r="P78" s="78"/>
      <c r="Q78" s="78"/>
    </row>
    <row r="79" spans="1:17">
      <c r="A79" s="78"/>
      <c r="B79" s="91"/>
      <c r="C79" s="291" t="s">
        <v>1152</v>
      </c>
      <c r="D79" s="448" t="s">
        <v>1153</v>
      </c>
      <c r="E79" s="449"/>
      <c r="F79" s="291" t="s">
        <v>528</v>
      </c>
      <c r="G79" s="92">
        <v>1</v>
      </c>
      <c r="H79" s="93">
        <v>3.68</v>
      </c>
      <c r="I79" s="93">
        <f t="shared" si="23"/>
        <v>3.68</v>
      </c>
      <c r="J79" s="94">
        <v>0.24229999999999999</v>
      </c>
      <c r="K79" s="93">
        <f t="shared" si="24"/>
        <v>0.89166400000000001</v>
      </c>
      <c r="L79" s="95">
        <f t="shared" si="25"/>
        <v>4.57</v>
      </c>
      <c r="M79" s="79"/>
      <c r="N79" s="78"/>
      <c r="O79" s="78"/>
      <c r="P79" s="78"/>
      <c r="Q79" s="78"/>
    </row>
    <row r="80" spans="1:17">
      <c r="A80" s="78"/>
      <c r="B80" s="91"/>
      <c r="C80" s="291"/>
      <c r="D80" s="448" t="s">
        <v>1154</v>
      </c>
      <c r="E80" s="449"/>
      <c r="F80" s="291" t="s">
        <v>528</v>
      </c>
      <c r="G80" s="92">
        <v>1</v>
      </c>
      <c r="H80" s="93">
        <v>23.02</v>
      </c>
      <c r="I80" s="93">
        <f t="shared" si="23"/>
        <v>23.02</v>
      </c>
      <c r="J80" s="94">
        <v>0.24229999999999999</v>
      </c>
      <c r="K80" s="93">
        <f t="shared" si="24"/>
        <v>5.5777459999999994</v>
      </c>
      <c r="L80" s="95">
        <f t="shared" si="25"/>
        <v>28.6</v>
      </c>
      <c r="M80" s="79"/>
      <c r="N80" s="78"/>
      <c r="O80" s="78"/>
      <c r="P80" s="78"/>
      <c r="Q80" s="78"/>
    </row>
    <row r="81" spans="1:17" ht="15.75">
      <c r="A81" s="78"/>
      <c r="B81" s="484"/>
      <c r="C81" s="364"/>
      <c r="D81" s="364"/>
      <c r="E81" s="364"/>
      <c r="F81" s="364"/>
      <c r="G81" s="364"/>
      <c r="H81" s="364"/>
      <c r="I81" s="364"/>
      <c r="J81" s="365"/>
      <c r="K81" s="96" t="s">
        <v>526</v>
      </c>
      <c r="L81" s="88">
        <f>SUM(L72:L80)</f>
        <v>448.16</v>
      </c>
      <c r="M81" s="79"/>
      <c r="N81" s="78"/>
      <c r="O81" s="78"/>
      <c r="P81" s="78"/>
      <c r="Q81" s="78"/>
    </row>
    <row r="82" spans="1:17" ht="18" customHeight="1">
      <c r="A82" s="78"/>
      <c r="B82" s="89" t="s">
        <v>489</v>
      </c>
      <c r="C82" s="231" t="s">
        <v>1012</v>
      </c>
      <c r="D82" s="454" t="s">
        <v>1013</v>
      </c>
      <c r="E82" s="455"/>
      <c r="F82" s="455"/>
      <c r="G82" s="455"/>
      <c r="H82" s="455"/>
      <c r="I82" s="455"/>
      <c r="J82" s="455"/>
      <c r="K82" s="455"/>
      <c r="L82" s="460"/>
      <c r="M82" s="79"/>
      <c r="N82" s="78"/>
      <c r="O82" s="78"/>
      <c r="P82" s="78"/>
      <c r="Q82" s="78"/>
    </row>
    <row r="83" spans="1:17" ht="15" customHeight="1">
      <c r="A83" s="78"/>
      <c r="B83" s="91"/>
      <c r="C83" s="34" t="s">
        <v>809</v>
      </c>
      <c r="D83" s="448" t="s">
        <v>1014</v>
      </c>
      <c r="E83" s="365"/>
      <c r="F83" s="92" t="s">
        <v>497</v>
      </c>
      <c r="G83" s="92">
        <v>0.1004016064257028</v>
      </c>
      <c r="H83" s="259">
        <v>299.72149999999999</v>
      </c>
      <c r="I83" s="93">
        <f t="shared" ref="I83:I87" si="26">G83*H83</f>
        <v>30.092520080321279</v>
      </c>
      <c r="J83" s="94">
        <v>0.24229999999999999</v>
      </c>
      <c r="K83" s="93">
        <f t="shared" ref="K83:K87" si="27">I83*J83</f>
        <v>7.2914176154618451</v>
      </c>
      <c r="L83" s="95">
        <f t="shared" ref="L83:L87" si="28">ROUND(I83+K83,2)</f>
        <v>37.380000000000003</v>
      </c>
      <c r="M83" s="79"/>
      <c r="N83" s="78"/>
      <c r="O83" s="78"/>
      <c r="P83" s="78"/>
      <c r="Q83" s="78"/>
    </row>
    <row r="84" spans="1:17" ht="15" customHeight="1">
      <c r="A84" s="78"/>
      <c r="B84" s="91"/>
      <c r="C84" s="34" t="s">
        <v>861</v>
      </c>
      <c r="D84" s="448" t="s">
        <v>862</v>
      </c>
      <c r="E84" s="365"/>
      <c r="F84" s="92" t="s">
        <v>528</v>
      </c>
      <c r="G84" s="92">
        <v>0.1004016064257028</v>
      </c>
      <c r="H84" s="259">
        <v>22.195399999999999</v>
      </c>
      <c r="I84" s="93">
        <f t="shared" si="26"/>
        <v>2.2284538152610436</v>
      </c>
      <c r="J84" s="94">
        <v>0.24229999999999999</v>
      </c>
      <c r="K84" s="93">
        <f t="shared" si="27"/>
        <v>0.53995435943775083</v>
      </c>
      <c r="L84" s="95">
        <f t="shared" si="28"/>
        <v>2.77</v>
      </c>
      <c r="M84" s="79"/>
      <c r="N84" s="78"/>
      <c r="O84" s="78"/>
      <c r="P84" s="78"/>
      <c r="Q84" s="78"/>
    </row>
    <row r="85" spans="1:17" ht="15" customHeight="1">
      <c r="A85" s="78"/>
      <c r="B85" s="91"/>
      <c r="C85" s="34" t="s">
        <v>706</v>
      </c>
      <c r="D85" s="448" t="s">
        <v>707</v>
      </c>
      <c r="E85" s="365"/>
      <c r="F85" s="92" t="s">
        <v>528</v>
      </c>
      <c r="G85" s="92">
        <v>0.3012048192771084</v>
      </c>
      <c r="H85" s="259">
        <v>18.4068</v>
      </c>
      <c r="I85" s="93">
        <f t="shared" si="26"/>
        <v>5.5442168674698795</v>
      </c>
      <c r="J85" s="94">
        <v>0.24229999999999999</v>
      </c>
      <c r="K85" s="93">
        <f t="shared" si="27"/>
        <v>1.3433637469879518</v>
      </c>
      <c r="L85" s="95">
        <f t="shared" si="28"/>
        <v>6.89</v>
      </c>
      <c r="M85" s="79"/>
      <c r="N85" s="78"/>
      <c r="O85" s="78"/>
      <c r="P85" s="78"/>
      <c r="Q85" s="78"/>
    </row>
    <row r="86" spans="1:17" ht="15" customHeight="1">
      <c r="A86" s="78"/>
      <c r="B86" s="91"/>
      <c r="C86" s="34" t="s">
        <v>1015</v>
      </c>
      <c r="D86" s="448" t="s">
        <v>1016</v>
      </c>
      <c r="E86" s="365"/>
      <c r="F86" s="92" t="s">
        <v>486</v>
      </c>
      <c r="G86" s="92">
        <v>1</v>
      </c>
      <c r="H86" s="259">
        <v>145.18979999999999</v>
      </c>
      <c r="I86" s="93">
        <f t="shared" si="26"/>
        <v>145.18979999999999</v>
      </c>
      <c r="J86" s="94">
        <v>0.24229999999999999</v>
      </c>
      <c r="K86" s="93">
        <f t="shared" si="27"/>
        <v>35.179488539999994</v>
      </c>
      <c r="L86" s="95">
        <f t="shared" si="28"/>
        <v>180.37</v>
      </c>
      <c r="M86" s="79"/>
      <c r="N86" s="78"/>
      <c r="O86" s="78"/>
      <c r="P86" s="78"/>
      <c r="Q86" s="78"/>
    </row>
    <row r="87" spans="1:17" ht="15" customHeight="1">
      <c r="A87" s="78"/>
      <c r="B87" s="91"/>
      <c r="C87" s="34">
        <v>1109669</v>
      </c>
      <c r="D87" s="448" t="s">
        <v>838</v>
      </c>
      <c r="E87" s="365"/>
      <c r="F87" s="92" t="s">
        <v>501</v>
      </c>
      <c r="G87" s="92">
        <v>2.49E-3</v>
      </c>
      <c r="H87" s="259">
        <v>436.84</v>
      </c>
      <c r="I87" s="93">
        <f t="shared" si="26"/>
        <v>1.0877315999999999</v>
      </c>
      <c r="J87" s="94">
        <v>0.24229999999999999</v>
      </c>
      <c r="K87" s="93">
        <f t="shared" si="27"/>
        <v>0.26355736667999996</v>
      </c>
      <c r="L87" s="95">
        <f t="shared" si="28"/>
        <v>1.35</v>
      </c>
      <c r="M87" s="79"/>
      <c r="N87" s="78"/>
      <c r="O87" s="78"/>
      <c r="P87" s="78"/>
      <c r="Q87" s="78"/>
    </row>
    <row r="88" spans="1:17" ht="15.75" customHeight="1">
      <c r="A88" s="78"/>
      <c r="B88" s="459"/>
      <c r="C88" s="364"/>
      <c r="D88" s="364"/>
      <c r="E88" s="364"/>
      <c r="F88" s="364"/>
      <c r="G88" s="364"/>
      <c r="H88" s="364"/>
      <c r="I88" s="364"/>
      <c r="J88" s="365"/>
      <c r="K88" s="96" t="s">
        <v>526</v>
      </c>
      <c r="L88" s="88">
        <f>SUM(L83:L87)</f>
        <v>228.76000000000002</v>
      </c>
      <c r="M88" s="79"/>
      <c r="N88" s="78"/>
      <c r="O88" s="78"/>
      <c r="P88" s="78"/>
      <c r="Q88" s="78"/>
    </row>
    <row r="89" spans="1:17" ht="26.25" customHeight="1">
      <c r="A89" s="78"/>
      <c r="B89" s="89" t="s">
        <v>491</v>
      </c>
      <c r="C89" s="231" t="s">
        <v>1018</v>
      </c>
      <c r="D89" s="454" t="s">
        <v>1017</v>
      </c>
      <c r="E89" s="455"/>
      <c r="F89" s="455"/>
      <c r="G89" s="455"/>
      <c r="H89" s="455"/>
      <c r="I89" s="455"/>
      <c r="J89" s="455"/>
      <c r="K89" s="455"/>
      <c r="L89" s="460"/>
      <c r="M89" s="79"/>
      <c r="N89" s="78"/>
      <c r="O89" s="78"/>
      <c r="P89" s="78"/>
      <c r="Q89" s="78"/>
    </row>
    <row r="90" spans="1:17" ht="15.75" customHeight="1">
      <c r="A90" s="78"/>
      <c r="B90" s="230"/>
      <c r="C90" s="34" t="s">
        <v>809</v>
      </c>
      <c r="D90" s="448" t="s">
        <v>1014</v>
      </c>
      <c r="E90" s="365"/>
      <c r="F90" s="92" t="s">
        <v>497</v>
      </c>
      <c r="G90" s="92">
        <v>0.12048192771084336</v>
      </c>
      <c r="H90" s="259">
        <v>299.72149999999999</v>
      </c>
      <c r="I90" s="93">
        <f t="shared" ref="I90:I94" si="29">G90*H90</f>
        <v>36.111024096385535</v>
      </c>
      <c r="J90" s="94">
        <v>0.24229999999999999</v>
      </c>
      <c r="K90" s="93">
        <f t="shared" ref="K90:K94" si="30">I90*J90</f>
        <v>8.7497011385542152</v>
      </c>
      <c r="L90" s="95">
        <f t="shared" ref="L90:L94" si="31">ROUND(I90+K90,2)</f>
        <v>44.86</v>
      </c>
      <c r="M90" s="79"/>
      <c r="N90" s="78"/>
      <c r="O90" s="78"/>
      <c r="P90" s="78"/>
      <c r="Q90" s="78"/>
    </row>
    <row r="91" spans="1:17" ht="15.75" customHeight="1">
      <c r="A91" s="78"/>
      <c r="B91" s="230"/>
      <c r="C91" s="34" t="s">
        <v>861</v>
      </c>
      <c r="D91" s="448" t="s">
        <v>862</v>
      </c>
      <c r="E91" s="365"/>
      <c r="F91" s="92" t="s">
        <v>528</v>
      </c>
      <c r="G91" s="92">
        <v>0.12048192771084336</v>
      </c>
      <c r="H91" s="259">
        <v>22.195399999999999</v>
      </c>
      <c r="I91" s="93">
        <f t="shared" si="29"/>
        <v>2.6741445783132525</v>
      </c>
      <c r="J91" s="94">
        <v>0.24229999999999999</v>
      </c>
      <c r="K91" s="93">
        <f t="shared" si="30"/>
        <v>0.64794523132530102</v>
      </c>
      <c r="L91" s="95">
        <f t="shared" si="31"/>
        <v>3.32</v>
      </c>
      <c r="M91" s="79"/>
      <c r="N91" s="78"/>
      <c r="O91" s="78"/>
      <c r="P91" s="78"/>
      <c r="Q91" s="78"/>
    </row>
    <row r="92" spans="1:17" ht="15.75" customHeight="1">
      <c r="A92" s="78"/>
      <c r="B92" s="230"/>
      <c r="C92" s="34" t="s">
        <v>706</v>
      </c>
      <c r="D92" s="448" t="s">
        <v>707</v>
      </c>
      <c r="E92" s="365"/>
      <c r="F92" s="92" t="s">
        <v>528</v>
      </c>
      <c r="G92" s="92">
        <v>0.36144578313253006</v>
      </c>
      <c r="H92" s="259">
        <v>18.4068</v>
      </c>
      <c r="I92" s="93">
        <f t="shared" si="29"/>
        <v>6.6530602409638542</v>
      </c>
      <c r="J92" s="94">
        <v>0.24229999999999999</v>
      </c>
      <c r="K92" s="93">
        <f t="shared" si="30"/>
        <v>1.6120364963855418</v>
      </c>
      <c r="L92" s="95">
        <f t="shared" si="31"/>
        <v>8.27</v>
      </c>
      <c r="M92" s="79"/>
      <c r="N92" s="78"/>
      <c r="O92" s="78"/>
      <c r="P92" s="78"/>
      <c r="Q92" s="78"/>
    </row>
    <row r="93" spans="1:17" ht="15.75" customHeight="1">
      <c r="A93" s="78"/>
      <c r="B93" s="230"/>
      <c r="C93" s="34" t="s">
        <v>1015</v>
      </c>
      <c r="D93" s="448" t="s">
        <v>1019</v>
      </c>
      <c r="E93" s="365"/>
      <c r="F93" s="92" t="s">
        <v>486</v>
      </c>
      <c r="G93" s="92">
        <v>1</v>
      </c>
      <c r="H93" s="259">
        <v>163.4</v>
      </c>
      <c r="I93" s="93">
        <f t="shared" si="29"/>
        <v>163.4</v>
      </c>
      <c r="J93" s="94">
        <v>0.24229999999999999</v>
      </c>
      <c r="K93" s="93">
        <f t="shared" si="30"/>
        <v>39.591819999999998</v>
      </c>
      <c r="L93" s="95">
        <f t="shared" si="31"/>
        <v>202.99</v>
      </c>
      <c r="M93" s="79"/>
      <c r="N93" s="78"/>
      <c r="O93" s="78"/>
      <c r="P93" s="78"/>
      <c r="Q93" s="78"/>
    </row>
    <row r="94" spans="1:17" ht="15.75" customHeight="1">
      <c r="A94" s="78"/>
      <c r="B94" s="230"/>
      <c r="C94" s="34">
        <v>1109669</v>
      </c>
      <c r="D94" s="448" t="s">
        <v>838</v>
      </c>
      <c r="E94" s="365"/>
      <c r="F94" s="92" t="s">
        <v>501</v>
      </c>
      <c r="G94" s="92">
        <v>4.3E-3</v>
      </c>
      <c r="H94" s="259">
        <v>436.84</v>
      </c>
      <c r="I94" s="93">
        <f t="shared" si="29"/>
        <v>1.878412</v>
      </c>
      <c r="J94" s="94">
        <v>0.24229999999999999</v>
      </c>
      <c r="K94" s="93">
        <f t="shared" si="30"/>
        <v>0.45513922759999997</v>
      </c>
      <c r="L94" s="95">
        <f t="shared" si="31"/>
        <v>2.33</v>
      </c>
      <c r="M94" s="79"/>
      <c r="N94" s="78"/>
      <c r="O94" s="78"/>
      <c r="P94" s="78"/>
      <c r="Q94" s="78"/>
    </row>
    <row r="95" spans="1:17" ht="15.75" customHeight="1">
      <c r="A95" s="78"/>
      <c r="B95" s="459"/>
      <c r="C95" s="364"/>
      <c r="D95" s="364"/>
      <c r="E95" s="364"/>
      <c r="F95" s="364"/>
      <c r="G95" s="364"/>
      <c r="H95" s="364"/>
      <c r="I95" s="364"/>
      <c r="J95" s="365"/>
      <c r="K95" s="96" t="s">
        <v>526</v>
      </c>
      <c r="L95" s="88">
        <f>SUM(L90:L94)</f>
        <v>261.77</v>
      </c>
      <c r="M95" s="79"/>
      <c r="N95" s="78"/>
      <c r="O95" s="78"/>
      <c r="P95" s="78"/>
      <c r="Q95" s="78"/>
    </row>
    <row r="96" spans="1:17" ht="23.25" customHeight="1">
      <c r="A96" s="78"/>
      <c r="B96" s="89" t="s">
        <v>492</v>
      </c>
      <c r="C96" s="231" t="s">
        <v>1020</v>
      </c>
      <c r="D96" s="454" t="s">
        <v>1021</v>
      </c>
      <c r="E96" s="455"/>
      <c r="F96" s="455"/>
      <c r="G96" s="455"/>
      <c r="H96" s="455"/>
      <c r="I96" s="455"/>
      <c r="J96" s="455"/>
      <c r="K96" s="455"/>
      <c r="L96" s="460"/>
      <c r="M96" s="79"/>
      <c r="N96" s="78"/>
      <c r="O96" s="78"/>
      <c r="P96" s="78"/>
      <c r="Q96" s="78"/>
    </row>
    <row r="97" spans="1:17" ht="15.75" customHeight="1">
      <c r="A97" s="78"/>
      <c r="B97" s="230"/>
      <c r="C97" s="34" t="s">
        <v>809</v>
      </c>
      <c r="D97" s="448" t="s">
        <v>1014</v>
      </c>
      <c r="E97" s="365"/>
      <c r="F97" s="92" t="s">
        <v>497</v>
      </c>
      <c r="G97" s="92">
        <v>0.1606425702811245</v>
      </c>
      <c r="H97" s="259">
        <v>299.72149999999999</v>
      </c>
      <c r="I97" s="93">
        <f t="shared" ref="I97:I101" si="32">G97*H97</f>
        <v>48.148032128514053</v>
      </c>
      <c r="J97" s="94">
        <v>0.24229999999999999</v>
      </c>
      <c r="K97" s="93">
        <f t="shared" ref="K97:K101" si="33">I97*J97</f>
        <v>11.666268184738955</v>
      </c>
      <c r="L97" s="95">
        <f t="shared" ref="L97:L101" si="34">ROUND(I97+K97,2)</f>
        <v>59.81</v>
      </c>
      <c r="M97" s="79"/>
      <c r="N97" s="78"/>
      <c r="O97" s="78"/>
      <c r="P97" s="78"/>
      <c r="Q97" s="78"/>
    </row>
    <row r="98" spans="1:17" ht="15.75" customHeight="1">
      <c r="A98" s="78"/>
      <c r="B98" s="230"/>
      <c r="C98" s="34" t="s">
        <v>861</v>
      </c>
      <c r="D98" s="448" t="s">
        <v>862</v>
      </c>
      <c r="E98" s="365"/>
      <c r="F98" s="92" t="s">
        <v>528</v>
      </c>
      <c r="G98" s="92">
        <v>0.1606425702811245</v>
      </c>
      <c r="H98" s="259">
        <v>22.195399999999999</v>
      </c>
      <c r="I98" s="93">
        <f t="shared" si="32"/>
        <v>3.5655261044176707</v>
      </c>
      <c r="J98" s="94">
        <v>0.24229999999999999</v>
      </c>
      <c r="K98" s="93">
        <f t="shared" si="33"/>
        <v>0.86392697510040162</v>
      </c>
      <c r="L98" s="95">
        <f t="shared" si="34"/>
        <v>4.43</v>
      </c>
      <c r="M98" s="79"/>
      <c r="N98" s="78"/>
      <c r="O98" s="78"/>
      <c r="P98" s="78"/>
      <c r="Q98" s="78"/>
    </row>
    <row r="99" spans="1:17" ht="15.75" customHeight="1">
      <c r="A99" s="78"/>
      <c r="B99" s="230"/>
      <c r="C99" s="34" t="s">
        <v>706</v>
      </c>
      <c r="D99" s="448" t="s">
        <v>707</v>
      </c>
      <c r="E99" s="365"/>
      <c r="F99" s="92" t="s">
        <v>528</v>
      </c>
      <c r="G99" s="92">
        <v>0.48192771084337355</v>
      </c>
      <c r="H99" s="259">
        <v>18.4068</v>
      </c>
      <c r="I99" s="93">
        <f t="shared" si="32"/>
        <v>8.8707469879518079</v>
      </c>
      <c r="J99" s="94">
        <v>0.24229999999999999</v>
      </c>
      <c r="K99" s="93">
        <f t="shared" si="33"/>
        <v>2.1493819951807231</v>
      </c>
      <c r="L99" s="95">
        <f t="shared" si="34"/>
        <v>11.02</v>
      </c>
      <c r="M99" s="79"/>
      <c r="N99" s="78"/>
      <c r="O99" s="78"/>
      <c r="P99" s="78"/>
      <c r="Q99" s="78"/>
    </row>
    <row r="100" spans="1:17" ht="15.75" customHeight="1">
      <c r="A100" s="78"/>
      <c r="B100" s="230"/>
      <c r="C100" s="34" t="s">
        <v>1015</v>
      </c>
      <c r="D100" s="448" t="s">
        <v>1024</v>
      </c>
      <c r="E100" s="365"/>
      <c r="F100" s="92" t="s">
        <v>486</v>
      </c>
      <c r="G100" s="92">
        <v>1</v>
      </c>
      <c r="H100" s="259">
        <v>286.18729999999999</v>
      </c>
      <c r="I100" s="93">
        <f t="shared" si="32"/>
        <v>286.18729999999999</v>
      </c>
      <c r="J100" s="94">
        <v>0.24229999999999999</v>
      </c>
      <c r="K100" s="93">
        <f t="shared" si="33"/>
        <v>69.34318279</v>
      </c>
      <c r="L100" s="95">
        <f t="shared" si="34"/>
        <v>355.53</v>
      </c>
      <c r="M100" s="79"/>
      <c r="N100" s="78"/>
      <c r="O100" s="78"/>
      <c r="P100" s="78"/>
      <c r="Q100" s="78"/>
    </row>
    <row r="101" spans="1:17" ht="15.75" customHeight="1">
      <c r="A101" s="78"/>
      <c r="B101" s="230"/>
      <c r="C101" s="34">
        <v>1109669</v>
      </c>
      <c r="D101" s="448" t="s">
        <v>838</v>
      </c>
      <c r="E101" s="365"/>
      <c r="F101" s="92" t="s">
        <v>501</v>
      </c>
      <c r="G101" s="92">
        <v>5.4999999999999997E-3</v>
      </c>
      <c r="H101" s="259">
        <v>436.84</v>
      </c>
      <c r="I101" s="93">
        <f t="shared" si="32"/>
        <v>2.4026199999999998</v>
      </c>
      <c r="J101" s="94">
        <v>0.24229999999999999</v>
      </c>
      <c r="K101" s="93">
        <f t="shared" si="33"/>
        <v>0.5821548259999999</v>
      </c>
      <c r="L101" s="95">
        <f t="shared" si="34"/>
        <v>2.98</v>
      </c>
      <c r="M101" s="79"/>
      <c r="N101" s="78"/>
      <c r="O101" s="78"/>
      <c r="P101" s="78"/>
      <c r="Q101" s="78"/>
    </row>
    <row r="102" spans="1:17" ht="15.75" customHeight="1">
      <c r="A102" s="78"/>
      <c r="B102" s="459"/>
      <c r="C102" s="364"/>
      <c r="D102" s="364"/>
      <c r="E102" s="364"/>
      <c r="F102" s="364"/>
      <c r="G102" s="364"/>
      <c r="H102" s="364"/>
      <c r="I102" s="364"/>
      <c r="J102" s="365"/>
      <c r="K102" s="96" t="s">
        <v>526</v>
      </c>
      <c r="L102" s="88">
        <f>SUM(L97:L101)</f>
        <v>433.77</v>
      </c>
      <c r="M102" s="79"/>
      <c r="N102" s="78"/>
      <c r="O102" s="78"/>
      <c r="P102" s="78"/>
      <c r="Q102" s="78"/>
    </row>
    <row r="103" spans="1:17" ht="15.75" customHeight="1">
      <c r="A103" s="78"/>
      <c r="B103" s="230"/>
      <c r="C103" s="234"/>
      <c r="D103" s="240"/>
      <c r="E103" s="240"/>
      <c r="F103" s="241"/>
      <c r="G103" s="241"/>
      <c r="H103" s="242"/>
      <c r="I103" s="242"/>
      <c r="J103" s="243"/>
      <c r="K103" s="93"/>
      <c r="L103" s="95"/>
      <c r="M103" s="79"/>
      <c r="N103" s="78"/>
      <c r="O103" s="78"/>
      <c r="P103" s="78"/>
      <c r="Q103" s="78"/>
    </row>
    <row r="104" spans="1:17" ht="29.25" customHeight="1">
      <c r="A104" s="78"/>
      <c r="B104" s="89" t="s">
        <v>651</v>
      </c>
      <c r="C104" s="231" t="s">
        <v>1022</v>
      </c>
      <c r="D104" s="454" t="s">
        <v>1023</v>
      </c>
      <c r="E104" s="455"/>
      <c r="F104" s="455"/>
      <c r="G104" s="455"/>
      <c r="H104" s="455"/>
      <c r="I104" s="455"/>
      <c r="J104" s="455"/>
      <c r="K104" s="455"/>
      <c r="L104" s="460"/>
      <c r="M104" s="79"/>
      <c r="N104" s="78"/>
      <c r="O104" s="78"/>
      <c r="P104" s="78"/>
      <c r="Q104" s="78"/>
    </row>
    <row r="105" spans="1:17" ht="15.75" customHeight="1">
      <c r="A105" s="78"/>
      <c r="B105" s="230"/>
      <c r="C105" s="34" t="s">
        <v>809</v>
      </c>
      <c r="D105" s="448" t="s">
        <v>1014</v>
      </c>
      <c r="E105" s="365"/>
      <c r="F105" s="92" t="s">
        <v>497</v>
      </c>
      <c r="G105" s="92">
        <v>0.20080321285140559</v>
      </c>
      <c r="H105" s="259">
        <v>299.72149999999999</v>
      </c>
      <c r="I105" s="93">
        <f t="shared" ref="I105:I109" si="35">G105*H105</f>
        <v>60.185040160642558</v>
      </c>
      <c r="J105" s="94">
        <v>0.24229999999999999</v>
      </c>
      <c r="K105" s="93">
        <f t="shared" ref="K105:K109" si="36">I105*J105</f>
        <v>14.58283523092369</v>
      </c>
      <c r="L105" s="95">
        <f t="shared" ref="L105:L109" si="37">ROUND(I105+K105,2)</f>
        <v>74.77</v>
      </c>
      <c r="M105" s="79"/>
      <c r="N105" s="78"/>
      <c r="O105" s="78"/>
      <c r="P105" s="78"/>
      <c r="Q105" s="78"/>
    </row>
    <row r="106" spans="1:17" ht="15.75" customHeight="1">
      <c r="A106" s="78"/>
      <c r="B106" s="230"/>
      <c r="C106" s="34" t="s">
        <v>861</v>
      </c>
      <c r="D106" s="448" t="s">
        <v>862</v>
      </c>
      <c r="E106" s="365"/>
      <c r="F106" s="92" t="s">
        <v>528</v>
      </c>
      <c r="G106" s="92">
        <v>0.20080321285140559</v>
      </c>
      <c r="H106" s="259">
        <v>22.195399999999999</v>
      </c>
      <c r="I106" s="93">
        <f t="shared" si="35"/>
        <v>4.4569076305220872</v>
      </c>
      <c r="J106" s="94">
        <v>0.24229999999999999</v>
      </c>
      <c r="K106" s="93">
        <f t="shared" si="36"/>
        <v>1.0799087188755017</v>
      </c>
      <c r="L106" s="95">
        <f t="shared" si="37"/>
        <v>5.54</v>
      </c>
      <c r="M106" s="79"/>
      <c r="N106" s="78"/>
      <c r="O106" s="78"/>
      <c r="P106" s="78"/>
      <c r="Q106" s="78"/>
    </row>
    <row r="107" spans="1:17" ht="15.75" customHeight="1">
      <c r="A107" s="78"/>
      <c r="B107" s="230"/>
      <c r="C107" s="34" t="s">
        <v>706</v>
      </c>
      <c r="D107" s="448" t="s">
        <v>707</v>
      </c>
      <c r="E107" s="365"/>
      <c r="F107" s="92" t="s">
        <v>528</v>
      </c>
      <c r="G107" s="92">
        <v>0.60240963855421681</v>
      </c>
      <c r="H107" s="259">
        <v>18.4068</v>
      </c>
      <c r="I107" s="93">
        <f t="shared" si="35"/>
        <v>11.088433734939759</v>
      </c>
      <c r="J107" s="94">
        <v>0.24229999999999999</v>
      </c>
      <c r="K107" s="93">
        <f t="shared" si="36"/>
        <v>2.6867274939759036</v>
      </c>
      <c r="L107" s="95">
        <f t="shared" si="37"/>
        <v>13.78</v>
      </c>
      <c r="M107" s="79"/>
      <c r="N107" s="78"/>
      <c r="O107" s="78"/>
      <c r="P107" s="78"/>
      <c r="Q107" s="78"/>
    </row>
    <row r="108" spans="1:17" ht="15.75" customHeight="1">
      <c r="A108" s="78"/>
      <c r="B108" s="230"/>
      <c r="C108" s="34" t="s">
        <v>1015</v>
      </c>
      <c r="D108" s="448" t="s">
        <v>1025</v>
      </c>
      <c r="E108" s="365"/>
      <c r="F108" s="92" t="s">
        <v>486</v>
      </c>
      <c r="G108" s="92">
        <v>1</v>
      </c>
      <c r="H108" s="259">
        <v>394.93990000000002</v>
      </c>
      <c r="I108" s="93">
        <f t="shared" si="35"/>
        <v>394.93990000000002</v>
      </c>
      <c r="J108" s="94">
        <v>0.24229999999999999</v>
      </c>
      <c r="K108" s="93">
        <f t="shared" si="36"/>
        <v>95.693937770000005</v>
      </c>
      <c r="L108" s="95">
        <f t="shared" si="37"/>
        <v>490.63</v>
      </c>
      <c r="M108" s="79"/>
      <c r="N108" s="78"/>
      <c r="O108" s="78"/>
      <c r="P108" s="78"/>
      <c r="Q108" s="78"/>
    </row>
    <row r="109" spans="1:17" ht="15.75" customHeight="1">
      <c r="A109" s="78"/>
      <c r="B109" s="230"/>
      <c r="C109" s="34">
        <v>1109669</v>
      </c>
      <c r="D109" s="448" t="s">
        <v>838</v>
      </c>
      <c r="E109" s="365"/>
      <c r="F109" s="92" t="s">
        <v>501</v>
      </c>
      <c r="G109" s="92">
        <v>7.3499999999999998E-3</v>
      </c>
      <c r="H109" s="259">
        <v>436.84</v>
      </c>
      <c r="I109" s="93">
        <f t="shared" si="35"/>
        <v>3.2107739999999998</v>
      </c>
      <c r="J109" s="94">
        <v>0.24229999999999999</v>
      </c>
      <c r="K109" s="93">
        <f t="shared" si="36"/>
        <v>0.77797054019999989</v>
      </c>
      <c r="L109" s="95">
        <f t="shared" si="37"/>
        <v>3.99</v>
      </c>
      <c r="M109" s="79"/>
      <c r="N109" s="78"/>
      <c r="O109" s="78"/>
      <c r="P109" s="78"/>
      <c r="Q109" s="78"/>
    </row>
    <row r="110" spans="1:17" ht="15.75" customHeight="1">
      <c r="A110" s="78"/>
      <c r="B110" s="459"/>
      <c r="C110" s="364"/>
      <c r="D110" s="364"/>
      <c r="E110" s="364"/>
      <c r="F110" s="364"/>
      <c r="G110" s="364"/>
      <c r="H110" s="364"/>
      <c r="I110" s="364"/>
      <c r="J110" s="365"/>
      <c r="K110" s="96" t="s">
        <v>526</v>
      </c>
      <c r="L110" s="88">
        <f>SUM(L105:L109)</f>
        <v>588.71</v>
      </c>
      <c r="M110" s="79"/>
      <c r="N110" s="78"/>
      <c r="O110" s="78"/>
      <c r="P110" s="78"/>
      <c r="Q110" s="78"/>
    </row>
    <row r="111" spans="1:17" ht="15.75" customHeight="1">
      <c r="A111" s="78"/>
      <c r="B111" s="89" t="s">
        <v>652</v>
      </c>
      <c r="C111" s="231" t="s">
        <v>684</v>
      </c>
      <c r="D111" s="454" t="s">
        <v>685</v>
      </c>
      <c r="E111" s="455"/>
      <c r="F111" s="455"/>
      <c r="G111" s="455"/>
      <c r="H111" s="455"/>
      <c r="I111" s="455"/>
      <c r="J111" s="455"/>
      <c r="K111" s="455"/>
      <c r="L111" s="460"/>
      <c r="M111" s="79"/>
      <c r="N111" s="78"/>
      <c r="O111" s="78"/>
      <c r="P111" s="78"/>
      <c r="Q111" s="78"/>
    </row>
    <row r="112" spans="1:17" ht="15.75" customHeight="1">
      <c r="A112" s="78"/>
      <c r="B112" s="230"/>
      <c r="C112" s="34" t="s">
        <v>778</v>
      </c>
      <c r="D112" s="448" t="s">
        <v>779</v>
      </c>
      <c r="E112" s="365"/>
      <c r="F112" s="92" t="s">
        <v>501</v>
      </c>
      <c r="G112" s="92">
        <v>1</v>
      </c>
      <c r="H112" s="93">
        <v>595.04</v>
      </c>
      <c r="I112" s="93">
        <f t="shared" ref="I112" si="38">G112*H112</f>
        <v>595.04</v>
      </c>
      <c r="J112" s="94">
        <v>0.24229999999999999</v>
      </c>
      <c r="K112" s="93">
        <f t="shared" ref="K112" si="39">I112*J112</f>
        <v>144.178192</v>
      </c>
      <c r="L112" s="95">
        <f t="shared" ref="L112" si="40">ROUND(I112+K112,2)</f>
        <v>739.22</v>
      </c>
      <c r="M112" s="79"/>
      <c r="N112" s="78"/>
      <c r="O112" s="78"/>
      <c r="P112" s="78"/>
      <c r="Q112" s="78"/>
    </row>
    <row r="113" spans="1:17" ht="15.75" customHeight="1">
      <c r="A113" s="78"/>
      <c r="B113" s="459"/>
      <c r="C113" s="364"/>
      <c r="D113" s="364"/>
      <c r="E113" s="364"/>
      <c r="F113" s="364"/>
      <c r="G113" s="364"/>
      <c r="H113" s="364"/>
      <c r="I113" s="364"/>
      <c r="J113" s="365"/>
      <c r="K113" s="96" t="s">
        <v>526</v>
      </c>
      <c r="L113" s="88">
        <f>SUM(L112)</f>
        <v>739.22</v>
      </c>
      <c r="M113" s="79"/>
      <c r="N113" s="78"/>
      <c r="O113" s="78"/>
      <c r="P113" s="78"/>
      <c r="Q113" s="78"/>
    </row>
    <row r="114" spans="1:17" ht="15.75" customHeight="1">
      <c r="A114" s="78"/>
      <c r="B114" s="89" t="s">
        <v>653</v>
      </c>
      <c r="C114" s="231" t="s">
        <v>686</v>
      </c>
      <c r="D114" s="454" t="s">
        <v>687</v>
      </c>
      <c r="E114" s="455"/>
      <c r="F114" s="455"/>
      <c r="G114" s="455"/>
      <c r="H114" s="455"/>
      <c r="I114" s="455"/>
      <c r="J114" s="455"/>
      <c r="K114" s="455"/>
      <c r="L114" s="460"/>
      <c r="M114" s="79"/>
      <c r="N114" s="78"/>
      <c r="O114" s="78"/>
      <c r="P114" s="78"/>
      <c r="Q114" s="78"/>
    </row>
    <row r="115" spans="1:17" ht="15.75" customHeight="1">
      <c r="A115" s="78"/>
      <c r="B115" s="230"/>
      <c r="C115" s="34" t="s">
        <v>780</v>
      </c>
      <c r="D115" s="448" t="s">
        <v>781</v>
      </c>
      <c r="E115" s="365"/>
      <c r="F115" s="92" t="s">
        <v>528</v>
      </c>
      <c r="G115" s="92">
        <v>1</v>
      </c>
      <c r="H115" s="93">
        <v>8.6</v>
      </c>
      <c r="I115" s="93">
        <f t="shared" ref="I115:I119" si="41">G115*H115</f>
        <v>8.6</v>
      </c>
      <c r="J115" s="94">
        <v>0.24229999999999999</v>
      </c>
      <c r="K115" s="93">
        <f t="shared" ref="K115:K119" si="42">I115*J115</f>
        <v>2.08378</v>
      </c>
      <c r="L115" s="95">
        <f t="shared" ref="L115:L119" si="43">ROUND(I115+K115,2)</f>
        <v>10.68</v>
      </c>
      <c r="M115" s="79"/>
      <c r="N115" s="78"/>
      <c r="O115" s="78"/>
      <c r="P115" s="78"/>
      <c r="Q115" s="78"/>
    </row>
    <row r="116" spans="1:17" ht="15.75" customHeight="1">
      <c r="A116" s="78"/>
      <c r="B116" s="230"/>
      <c r="C116" s="34" t="s">
        <v>782</v>
      </c>
      <c r="D116" s="448" t="s">
        <v>783</v>
      </c>
      <c r="E116" s="365"/>
      <c r="F116" s="92" t="s">
        <v>501</v>
      </c>
      <c r="G116" s="92">
        <v>1.5</v>
      </c>
      <c r="H116" s="93">
        <v>124.39</v>
      </c>
      <c r="I116" s="93">
        <f t="shared" si="41"/>
        <v>186.58500000000001</v>
      </c>
      <c r="J116" s="94">
        <v>0.24229999999999999</v>
      </c>
      <c r="K116" s="93">
        <f t="shared" si="42"/>
        <v>45.209545499999997</v>
      </c>
      <c r="L116" s="95">
        <f t="shared" si="43"/>
        <v>231.79</v>
      </c>
      <c r="M116" s="79"/>
      <c r="N116" s="78"/>
      <c r="O116" s="78"/>
      <c r="P116" s="78"/>
      <c r="Q116" s="78"/>
    </row>
    <row r="117" spans="1:17" ht="15.75" customHeight="1">
      <c r="A117" s="78"/>
      <c r="B117" s="230"/>
      <c r="C117" s="34" t="s">
        <v>741</v>
      </c>
      <c r="D117" s="448" t="s">
        <v>742</v>
      </c>
      <c r="E117" s="365"/>
      <c r="F117" s="92" t="s">
        <v>528</v>
      </c>
      <c r="G117" s="92">
        <v>10</v>
      </c>
      <c r="H117" s="93">
        <v>6</v>
      </c>
      <c r="I117" s="93">
        <f t="shared" si="41"/>
        <v>60</v>
      </c>
      <c r="J117" s="94">
        <v>0.24229999999999999</v>
      </c>
      <c r="K117" s="93">
        <f t="shared" si="42"/>
        <v>14.537999999999998</v>
      </c>
      <c r="L117" s="95">
        <f t="shared" si="43"/>
        <v>74.540000000000006</v>
      </c>
      <c r="M117" s="79"/>
      <c r="N117" s="78"/>
      <c r="O117" s="78"/>
      <c r="P117" s="78"/>
      <c r="Q117" s="78"/>
    </row>
    <row r="118" spans="1:17" ht="15.75" customHeight="1">
      <c r="A118" s="78"/>
      <c r="B118" s="230"/>
      <c r="C118" s="34" t="s">
        <v>745</v>
      </c>
      <c r="D118" s="448" t="s">
        <v>746</v>
      </c>
      <c r="E118" s="365"/>
      <c r="F118" s="92" t="s">
        <v>528</v>
      </c>
      <c r="G118" s="92">
        <v>10</v>
      </c>
      <c r="H118" s="93">
        <v>3.8</v>
      </c>
      <c r="I118" s="93">
        <f t="shared" si="41"/>
        <v>38</v>
      </c>
      <c r="J118" s="94">
        <v>0.24229999999999999</v>
      </c>
      <c r="K118" s="93">
        <f t="shared" si="42"/>
        <v>9.2073999999999998</v>
      </c>
      <c r="L118" s="95">
        <f t="shared" si="43"/>
        <v>47.21</v>
      </c>
      <c r="M118" s="79"/>
      <c r="N118" s="78"/>
      <c r="O118" s="78"/>
      <c r="P118" s="78"/>
      <c r="Q118" s="78"/>
    </row>
    <row r="119" spans="1:17" ht="15.75" customHeight="1">
      <c r="A119" s="78"/>
      <c r="B119" s="230"/>
      <c r="C119" s="34">
        <v>88316</v>
      </c>
      <c r="D119" s="448" t="s">
        <v>749</v>
      </c>
      <c r="E119" s="365"/>
      <c r="F119" s="92" t="s">
        <v>481</v>
      </c>
      <c r="G119" s="92">
        <v>1</v>
      </c>
      <c r="H119" s="93">
        <v>76.790000000000006</v>
      </c>
      <c r="I119" s="93">
        <f t="shared" si="41"/>
        <v>76.790000000000006</v>
      </c>
      <c r="J119" s="94">
        <v>0.24229999999999999</v>
      </c>
      <c r="K119" s="93">
        <f t="shared" si="42"/>
        <v>18.606217000000001</v>
      </c>
      <c r="L119" s="95">
        <f t="shared" si="43"/>
        <v>95.4</v>
      </c>
      <c r="M119" s="79"/>
      <c r="N119" s="78"/>
      <c r="O119" s="78"/>
      <c r="P119" s="78"/>
      <c r="Q119" s="78"/>
    </row>
    <row r="120" spans="1:17" ht="15.75" customHeight="1">
      <c r="A120" s="78"/>
      <c r="B120" s="459"/>
      <c r="C120" s="364"/>
      <c r="D120" s="364"/>
      <c r="E120" s="364"/>
      <c r="F120" s="364"/>
      <c r="G120" s="364"/>
      <c r="H120" s="364"/>
      <c r="I120" s="364"/>
      <c r="J120" s="365"/>
      <c r="K120" s="96" t="s">
        <v>526</v>
      </c>
      <c r="L120" s="88">
        <f>SUM(L115:L119)</f>
        <v>459.62</v>
      </c>
      <c r="M120" s="79"/>
      <c r="N120" s="78"/>
      <c r="O120" s="78"/>
      <c r="P120" s="78"/>
      <c r="Q120" s="78"/>
    </row>
    <row r="121" spans="1:17" ht="15.75" customHeight="1">
      <c r="A121" s="78"/>
      <c r="B121" s="230"/>
      <c r="C121" s="234"/>
      <c r="D121" s="240"/>
      <c r="E121" s="240"/>
      <c r="F121" s="241"/>
      <c r="G121" s="241"/>
      <c r="H121" s="242"/>
      <c r="I121" s="242"/>
      <c r="J121" s="243"/>
      <c r="K121" s="93"/>
      <c r="L121" s="95"/>
      <c r="M121" s="79"/>
      <c r="N121" s="78"/>
      <c r="O121" s="78"/>
      <c r="P121" s="78"/>
      <c r="Q121" s="78"/>
    </row>
    <row r="122" spans="1:17" ht="15.75" customHeight="1">
      <c r="A122" s="78"/>
      <c r="B122" s="89" t="s">
        <v>654</v>
      </c>
      <c r="C122" s="231">
        <v>103800</v>
      </c>
      <c r="D122" s="454" t="s">
        <v>688</v>
      </c>
      <c r="E122" s="455"/>
      <c r="F122" s="455"/>
      <c r="G122" s="455"/>
      <c r="H122" s="455"/>
      <c r="I122" s="455"/>
      <c r="J122" s="455"/>
      <c r="K122" s="455"/>
      <c r="L122" s="460"/>
      <c r="M122" s="79"/>
      <c r="N122" s="78"/>
      <c r="O122" s="78"/>
      <c r="P122" s="78"/>
      <c r="Q122" s="78"/>
    </row>
    <row r="123" spans="1:17" ht="15.75" customHeight="1">
      <c r="A123" s="78"/>
      <c r="B123" s="230"/>
      <c r="C123" s="34">
        <v>4730</v>
      </c>
      <c r="D123" s="448" t="s">
        <v>784</v>
      </c>
      <c r="E123" s="365"/>
      <c r="F123" s="92" t="s">
        <v>501</v>
      </c>
      <c r="G123" s="302">
        <v>0.90859999999999996</v>
      </c>
      <c r="H123" s="291">
        <v>72.739999999999995</v>
      </c>
      <c r="I123" s="93">
        <f t="shared" ref="I123:I126" si="44">G123*H123</f>
        <v>66.091563999999991</v>
      </c>
      <c r="J123" s="94">
        <v>0.24229999999999999</v>
      </c>
      <c r="K123" s="93">
        <f t="shared" ref="K123:K126" si="45">I123*J123</f>
        <v>16.013985957199996</v>
      </c>
      <c r="L123" s="95">
        <f t="shared" ref="L123:L126" si="46">ROUND(I123+K123,2)</f>
        <v>82.11</v>
      </c>
      <c r="M123" s="79"/>
      <c r="N123" s="78"/>
      <c r="O123" s="78"/>
      <c r="P123" s="78"/>
      <c r="Q123" s="78"/>
    </row>
    <row r="124" spans="1:17" ht="15.75" customHeight="1">
      <c r="A124" s="78"/>
      <c r="B124" s="230"/>
      <c r="C124" s="34">
        <v>88309</v>
      </c>
      <c r="D124" s="448" t="s">
        <v>533</v>
      </c>
      <c r="E124" s="365"/>
      <c r="F124" s="92" t="s">
        <v>528</v>
      </c>
      <c r="G124" s="302">
        <v>2.2158000000000002</v>
      </c>
      <c r="H124" s="291">
        <v>22.51</v>
      </c>
      <c r="I124" s="93">
        <f t="shared" si="44"/>
        <v>49.877658000000011</v>
      </c>
      <c r="J124" s="94">
        <v>0.24229999999999999</v>
      </c>
      <c r="K124" s="93">
        <f t="shared" si="45"/>
        <v>12.085356533400002</v>
      </c>
      <c r="L124" s="95">
        <f t="shared" si="46"/>
        <v>61.96</v>
      </c>
      <c r="M124" s="79"/>
      <c r="N124" s="78"/>
      <c r="O124" s="78"/>
      <c r="P124" s="78"/>
      <c r="Q124" s="78"/>
    </row>
    <row r="125" spans="1:17" ht="15.75" customHeight="1">
      <c r="A125" s="78"/>
      <c r="B125" s="230"/>
      <c r="C125" s="34">
        <v>88316</v>
      </c>
      <c r="D125" s="448" t="s">
        <v>529</v>
      </c>
      <c r="E125" s="365"/>
      <c r="F125" s="92" t="s">
        <v>528</v>
      </c>
      <c r="G125" s="302">
        <v>3.1021000000000001</v>
      </c>
      <c r="H125" s="291">
        <v>17.39</v>
      </c>
      <c r="I125" s="93">
        <f t="shared" si="44"/>
        <v>53.945519000000004</v>
      </c>
      <c r="J125" s="94">
        <v>0.24229999999999999</v>
      </c>
      <c r="K125" s="93">
        <f t="shared" si="45"/>
        <v>13.0709992537</v>
      </c>
      <c r="L125" s="95">
        <f t="shared" si="46"/>
        <v>67.02</v>
      </c>
      <c r="M125" s="79"/>
      <c r="N125" s="78"/>
      <c r="O125" s="78"/>
      <c r="P125" s="78"/>
      <c r="Q125" s="78"/>
    </row>
    <row r="126" spans="1:17" ht="15.75" customHeight="1">
      <c r="A126" s="78"/>
      <c r="B126" s="230"/>
      <c r="C126" s="34">
        <v>88629</v>
      </c>
      <c r="D126" s="448" t="s">
        <v>668</v>
      </c>
      <c r="E126" s="365"/>
      <c r="F126" s="92" t="s">
        <v>501</v>
      </c>
      <c r="G126" s="302">
        <v>0.44119999999999998</v>
      </c>
      <c r="H126" s="291">
        <v>624.26</v>
      </c>
      <c r="I126" s="93">
        <f t="shared" si="44"/>
        <v>275.42351199999996</v>
      </c>
      <c r="J126" s="94">
        <v>0.24229999999999999</v>
      </c>
      <c r="K126" s="93">
        <f t="shared" si="45"/>
        <v>66.735116957599985</v>
      </c>
      <c r="L126" s="95">
        <f t="shared" si="46"/>
        <v>342.16</v>
      </c>
      <c r="M126" s="79"/>
      <c r="N126" s="78"/>
      <c r="O126" s="78"/>
      <c r="P126" s="78"/>
      <c r="Q126" s="78"/>
    </row>
    <row r="127" spans="1:17" ht="15.75" customHeight="1">
      <c r="A127" s="78"/>
      <c r="B127" s="459"/>
      <c r="C127" s="364"/>
      <c r="D127" s="364"/>
      <c r="E127" s="364"/>
      <c r="F127" s="364"/>
      <c r="G127" s="364"/>
      <c r="H127" s="364"/>
      <c r="I127" s="364"/>
      <c r="J127" s="365"/>
      <c r="K127" s="96" t="s">
        <v>526</v>
      </c>
      <c r="L127" s="88">
        <f>SUM(L123:L126)</f>
        <v>553.25</v>
      </c>
      <c r="M127" s="79"/>
      <c r="N127" s="78"/>
      <c r="O127" s="78"/>
      <c r="P127" s="78"/>
      <c r="Q127" s="78"/>
    </row>
    <row r="128" spans="1:17" ht="15.75" customHeight="1">
      <c r="A128" s="78"/>
      <c r="B128" s="89" t="s">
        <v>655</v>
      </c>
      <c r="C128" s="303">
        <v>83690</v>
      </c>
      <c r="D128" s="454" t="s">
        <v>689</v>
      </c>
      <c r="E128" s="455"/>
      <c r="F128" s="455" t="s">
        <v>501</v>
      </c>
      <c r="G128" s="455"/>
      <c r="H128" s="455" t="s">
        <v>666</v>
      </c>
      <c r="I128" s="455"/>
      <c r="J128" s="455"/>
      <c r="K128" s="455"/>
      <c r="L128" s="460"/>
      <c r="M128" s="79"/>
      <c r="N128" s="78"/>
      <c r="O128" s="78"/>
      <c r="P128" s="78"/>
      <c r="Q128" s="78"/>
    </row>
    <row r="129" spans="1:17" ht="15.75" customHeight="1">
      <c r="A129" s="78"/>
      <c r="B129" s="244"/>
      <c r="C129" s="34">
        <v>4730</v>
      </c>
      <c r="D129" s="448" t="s">
        <v>784</v>
      </c>
      <c r="E129" s="365"/>
      <c r="F129" s="92" t="s">
        <v>501</v>
      </c>
      <c r="G129" s="302">
        <v>1.1000000000000001</v>
      </c>
      <c r="H129" s="93">
        <v>72.739999999999995</v>
      </c>
      <c r="I129" s="93">
        <f t="shared" ref="I129:I133" si="47">G129*H129</f>
        <v>80.013999999999996</v>
      </c>
      <c r="J129" s="94">
        <v>0.24229999999999999</v>
      </c>
      <c r="K129" s="93">
        <f t="shared" ref="K129:K133" si="48">I129*J129</f>
        <v>19.387392199999997</v>
      </c>
      <c r="L129" s="95">
        <f t="shared" ref="L129:L133" si="49">ROUND(I129+K129,2)</f>
        <v>99.4</v>
      </c>
      <c r="M129" s="79"/>
      <c r="N129" s="78"/>
      <c r="O129" s="78"/>
      <c r="P129" s="78"/>
      <c r="Q129" s="78"/>
    </row>
    <row r="130" spans="1:17" ht="15.75" customHeight="1">
      <c r="A130" s="78"/>
      <c r="B130" s="244"/>
      <c r="C130" s="34">
        <v>87307</v>
      </c>
      <c r="D130" s="448" t="s">
        <v>785</v>
      </c>
      <c r="E130" s="365"/>
      <c r="F130" s="92" t="s">
        <v>501</v>
      </c>
      <c r="G130" s="302">
        <v>0.15</v>
      </c>
      <c r="H130" s="93">
        <v>458.23</v>
      </c>
      <c r="I130" s="93">
        <f t="shared" si="47"/>
        <v>68.734499999999997</v>
      </c>
      <c r="J130" s="94">
        <v>0.24229999999999999</v>
      </c>
      <c r="K130" s="93">
        <f t="shared" si="48"/>
        <v>16.65436935</v>
      </c>
      <c r="L130" s="95">
        <f t="shared" si="49"/>
        <v>85.39</v>
      </c>
      <c r="M130" s="79"/>
      <c r="N130" s="78"/>
      <c r="O130" s="78"/>
      <c r="P130" s="78"/>
      <c r="Q130" s="78"/>
    </row>
    <row r="131" spans="1:17" ht="15.75" customHeight="1">
      <c r="A131" s="78"/>
      <c r="B131" s="244"/>
      <c r="C131" s="34">
        <v>88309</v>
      </c>
      <c r="D131" s="448" t="s">
        <v>533</v>
      </c>
      <c r="E131" s="365"/>
      <c r="F131" s="92" t="s">
        <v>528</v>
      </c>
      <c r="G131" s="302">
        <v>7.2</v>
      </c>
      <c r="H131" s="93">
        <v>22.51</v>
      </c>
      <c r="I131" s="93">
        <f t="shared" si="47"/>
        <v>162.072</v>
      </c>
      <c r="J131" s="94">
        <v>0.24229999999999999</v>
      </c>
      <c r="K131" s="93">
        <f t="shared" si="48"/>
        <v>39.270045599999996</v>
      </c>
      <c r="L131" s="95">
        <f t="shared" si="49"/>
        <v>201.34</v>
      </c>
      <c r="M131" s="79"/>
      <c r="N131" s="78"/>
      <c r="O131" s="78"/>
      <c r="P131" s="78"/>
      <c r="Q131" s="78"/>
    </row>
    <row r="132" spans="1:17" ht="15.75" customHeight="1">
      <c r="A132" s="78"/>
      <c r="B132" s="244"/>
      <c r="C132" s="34">
        <v>88316</v>
      </c>
      <c r="D132" s="448" t="s">
        <v>529</v>
      </c>
      <c r="E132" s="365"/>
      <c r="F132" s="92" t="s">
        <v>528</v>
      </c>
      <c r="G132" s="302">
        <v>10.199999999999999</v>
      </c>
      <c r="H132" s="93">
        <v>17.39</v>
      </c>
      <c r="I132" s="93">
        <f t="shared" si="47"/>
        <v>177.37799999999999</v>
      </c>
      <c r="J132" s="94">
        <v>0.24229999999999999</v>
      </c>
      <c r="K132" s="93">
        <f t="shared" si="48"/>
        <v>42.978689399999993</v>
      </c>
      <c r="L132" s="95">
        <f t="shared" si="49"/>
        <v>220.36</v>
      </c>
      <c r="M132" s="79"/>
      <c r="N132" s="78"/>
      <c r="O132" s="78"/>
      <c r="P132" s="78"/>
      <c r="Q132" s="78"/>
    </row>
    <row r="133" spans="1:17" ht="15.75" customHeight="1">
      <c r="A133" s="78"/>
      <c r="B133" s="244"/>
      <c r="C133" s="34">
        <v>93358</v>
      </c>
      <c r="D133" s="448" t="s">
        <v>657</v>
      </c>
      <c r="E133" s="365"/>
      <c r="F133" s="92" t="s">
        <v>501</v>
      </c>
      <c r="G133" s="302">
        <v>1.1000000000000001</v>
      </c>
      <c r="H133" s="93">
        <v>68.790000000000006</v>
      </c>
      <c r="I133" s="93">
        <f t="shared" si="47"/>
        <v>75.669000000000011</v>
      </c>
      <c r="J133" s="94">
        <v>0.24229999999999999</v>
      </c>
      <c r="K133" s="93">
        <f t="shared" si="48"/>
        <v>18.334598700000001</v>
      </c>
      <c r="L133" s="95">
        <f t="shared" si="49"/>
        <v>94</v>
      </c>
      <c r="M133" s="79"/>
      <c r="N133" s="78"/>
      <c r="O133" s="78"/>
      <c r="P133" s="78"/>
      <c r="Q133" s="78"/>
    </row>
    <row r="134" spans="1:17" ht="15.75" customHeight="1">
      <c r="A134" s="78"/>
      <c r="B134" s="459"/>
      <c r="C134" s="364"/>
      <c r="D134" s="364"/>
      <c r="E134" s="364"/>
      <c r="F134" s="364"/>
      <c r="G134" s="364"/>
      <c r="H134" s="364"/>
      <c r="I134" s="364"/>
      <c r="J134" s="365"/>
      <c r="K134" s="96" t="s">
        <v>526</v>
      </c>
      <c r="L134" s="88">
        <f>SUM(L129:L133)</f>
        <v>700.49</v>
      </c>
      <c r="M134" s="79"/>
      <c r="N134" s="78"/>
      <c r="O134" s="78"/>
      <c r="P134" s="78"/>
      <c r="Q134" s="78"/>
    </row>
    <row r="135" spans="1:17" ht="18.75" customHeight="1">
      <c r="A135" s="78"/>
      <c r="B135" s="89" t="s">
        <v>656</v>
      </c>
      <c r="C135" s="231" t="s">
        <v>945</v>
      </c>
      <c r="D135" s="454" t="s">
        <v>690</v>
      </c>
      <c r="E135" s="455"/>
      <c r="F135" s="455"/>
      <c r="G135" s="455"/>
      <c r="H135" s="455"/>
      <c r="I135" s="455"/>
      <c r="J135" s="455"/>
      <c r="K135" s="455"/>
      <c r="L135" s="460"/>
      <c r="M135" s="79"/>
      <c r="N135" s="78"/>
      <c r="O135" s="78"/>
      <c r="P135" s="78"/>
      <c r="Q135" s="78"/>
    </row>
    <row r="136" spans="1:17" ht="30.75" customHeight="1">
      <c r="A136" s="78"/>
      <c r="B136" s="91"/>
      <c r="C136" s="34">
        <v>1107892</v>
      </c>
      <c r="D136" s="448" t="s">
        <v>840</v>
      </c>
      <c r="E136" s="365"/>
      <c r="F136" s="35" t="s">
        <v>501</v>
      </c>
      <c r="G136" s="92">
        <v>0.42299999999999999</v>
      </c>
      <c r="H136" s="93">
        <v>414.41</v>
      </c>
      <c r="I136" s="100">
        <f t="shared" ref="I136:I137" si="50">G136*H136</f>
        <v>175.29543000000001</v>
      </c>
      <c r="J136" s="94">
        <v>0.24229999999999999</v>
      </c>
      <c r="K136" s="100">
        <f t="shared" ref="K136:K137" si="51">I136*J136</f>
        <v>42.474082688999999</v>
      </c>
      <c r="L136" s="95">
        <f t="shared" ref="L136:L137" si="52">ROUND(I136+K136,2)</f>
        <v>217.77</v>
      </c>
      <c r="M136" s="79"/>
      <c r="N136" s="78"/>
      <c r="O136" s="78"/>
      <c r="P136" s="78"/>
      <c r="Q136" s="78"/>
    </row>
    <row r="137" spans="1:17" ht="30.75" customHeight="1">
      <c r="A137" s="78"/>
      <c r="B137" s="91"/>
      <c r="C137" s="34">
        <v>3103302</v>
      </c>
      <c r="D137" s="448" t="s">
        <v>848</v>
      </c>
      <c r="E137" s="365"/>
      <c r="F137" s="35" t="s">
        <v>487</v>
      </c>
      <c r="G137" s="92">
        <v>2.29</v>
      </c>
      <c r="H137" s="93">
        <v>70.14</v>
      </c>
      <c r="I137" s="100">
        <f t="shared" si="50"/>
        <v>160.6206</v>
      </c>
      <c r="J137" s="94">
        <v>0.24229999999999999</v>
      </c>
      <c r="K137" s="100">
        <f t="shared" si="51"/>
        <v>38.918371379999996</v>
      </c>
      <c r="L137" s="95">
        <f t="shared" si="52"/>
        <v>199.54</v>
      </c>
      <c r="M137" s="79"/>
      <c r="N137" s="78"/>
      <c r="O137" s="78"/>
      <c r="P137" s="78"/>
      <c r="Q137" s="78"/>
    </row>
    <row r="138" spans="1:17" ht="15" customHeight="1">
      <c r="A138" s="78"/>
      <c r="B138" s="459"/>
      <c r="C138" s="364"/>
      <c r="D138" s="364"/>
      <c r="E138" s="364"/>
      <c r="F138" s="364"/>
      <c r="G138" s="364"/>
      <c r="H138" s="364"/>
      <c r="I138" s="364"/>
      <c r="J138" s="365"/>
      <c r="K138" s="96" t="s">
        <v>526</v>
      </c>
      <c r="L138" s="88">
        <f>SUM(L136:L137)</f>
        <v>417.31</v>
      </c>
      <c r="M138" s="79"/>
      <c r="N138" s="78"/>
      <c r="O138" s="78"/>
      <c r="P138" s="78"/>
      <c r="Q138" s="78"/>
    </row>
    <row r="139" spans="1:17" ht="15" customHeight="1">
      <c r="A139" s="78"/>
      <c r="B139" s="89" t="s">
        <v>963</v>
      </c>
      <c r="C139" s="231" t="s">
        <v>947</v>
      </c>
      <c r="D139" s="450" t="s">
        <v>691</v>
      </c>
      <c r="E139" s="364"/>
      <c r="F139" s="364"/>
      <c r="G139" s="364"/>
      <c r="H139" s="364"/>
      <c r="I139" s="364"/>
      <c r="J139" s="364"/>
      <c r="K139" s="364"/>
      <c r="L139" s="428"/>
      <c r="M139" s="79"/>
      <c r="N139" s="78"/>
      <c r="O139" s="78"/>
      <c r="P139" s="78"/>
      <c r="Q139" s="78"/>
    </row>
    <row r="140" spans="1:17" ht="15" customHeight="1">
      <c r="A140" s="78"/>
      <c r="B140" s="91"/>
      <c r="C140" s="34">
        <v>1107892</v>
      </c>
      <c r="D140" s="448" t="s">
        <v>840</v>
      </c>
      <c r="E140" s="365"/>
      <c r="F140" s="35" t="s">
        <v>501</v>
      </c>
      <c r="G140" s="92">
        <v>0.93200000000000005</v>
      </c>
      <c r="H140" s="93">
        <v>414.41</v>
      </c>
      <c r="I140" s="100">
        <f t="shared" ref="I140:I141" si="53">G140*H140</f>
        <v>386.23012000000006</v>
      </c>
      <c r="J140" s="94">
        <v>0.24229999999999999</v>
      </c>
      <c r="K140" s="100">
        <f t="shared" ref="K140:K141" si="54">I140*J140</f>
        <v>93.583558076000003</v>
      </c>
      <c r="L140" s="95">
        <f t="shared" ref="L140:L141" si="55">ROUND(I140+K140,2)</f>
        <v>479.81</v>
      </c>
      <c r="M140" s="79"/>
      <c r="N140" s="78"/>
      <c r="O140" s="78"/>
      <c r="P140" s="78"/>
      <c r="Q140" s="78"/>
    </row>
    <row r="141" spans="1:17" ht="15" customHeight="1">
      <c r="A141" s="78"/>
      <c r="B141" s="91"/>
      <c r="C141" s="34">
        <v>3103302</v>
      </c>
      <c r="D141" s="448" t="s">
        <v>848</v>
      </c>
      <c r="E141" s="365"/>
      <c r="F141" s="35" t="s">
        <v>487</v>
      </c>
      <c r="G141" s="92">
        <v>4.17</v>
      </c>
      <c r="H141" s="93">
        <v>70.14</v>
      </c>
      <c r="I141" s="100">
        <f t="shared" si="53"/>
        <v>292.48379999999997</v>
      </c>
      <c r="J141" s="94">
        <v>0.24229999999999999</v>
      </c>
      <c r="K141" s="100">
        <f t="shared" si="54"/>
        <v>70.868824739999994</v>
      </c>
      <c r="L141" s="95">
        <f t="shared" si="55"/>
        <v>363.35</v>
      </c>
      <c r="M141" s="79"/>
      <c r="N141" s="78"/>
      <c r="O141" s="78"/>
      <c r="P141" s="78"/>
      <c r="Q141" s="78"/>
    </row>
    <row r="142" spans="1:17" ht="15" customHeight="1">
      <c r="A142" s="78"/>
      <c r="B142" s="459"/>
      <c r="C142" s="364"/>
      <c r="D142" s="364"/>
      <c r="E142" s="364"/>
      <c r="F142" s="364"/>
      <c r="G142" s="364"/>
      <c r="H142" s="364"/>
      <c r="I142" s="364"/>
      <c r="J142" s="365"/>
      <c r="K142" s="96" t="s">
        <v>526</v>
      </c>
      <c r="L142" s="88">
        <f>SUM(L140:L141)</f>
        <v>843.16000000000008</v>
      </c>
      <c r="M142" s="79"/>
      <c r="N142" s="78"/>
      <c r="O142" s="78"/>
      <c r="P142" s="78"/>
      <c r="Q142" s="78"/>
    </row>
    <row r="143" spans="1:17" ht="19.5" customHeight="1">
      <c r="A143" s="78"/>
      <c r="B143" s="89" t="s">
        <v>964</v>
      </c>
      <c r="C143" s="231" t="s">
        <v>949</v>
      </c>
      <c r="D143" s="450" t="s">
        <v>694</v>
      </c>
      <c r="E143" s="364"/>
      <c r="F143" s="364"/>
      <c r="G143" s="364"/>
      <c r="H143" s="364"/>
      <c r="I143" s="364"/>
      <c r="J143" s="364"/>
      <c r="K143" s="364"/>
      <c r="L143" s="428"/>
      <c r="M143" s="79"/>
      <c r="N143" s="78"/>
      <c r="O143" s="78"/>
      <c r="P143" s="78"/>
      <c r="Q143" s="78"/>
    </row>
    <row r="144" spans="1:17" ht="34.5" customHeight="1">
      <c r="A144" s="78"/>
      <c r="B144" s="91"/>
      <c r="C144" s="34">
        <v>1107892</v>
      </c>
      <c r="D144" s="448" t="s">
        <v>840</v>
      </c>
      <c r="E144" s="365"/>
      <c r="F144" s="35" t="s">
        <v>501</v>
      </c>
      <c r="G144" s="92">
        <v>1.619</v>
      </c>
      <c r="H144" s="93">
        <v>414.41</v>
      </c>
      <c r="I144" s="100">
        <f t="shared" ref="I144:I145" si="56">G144*H144</f>
        <v>670.92979000000003</v>
      </c>
      <c r="J144" s="94">
        <v>0.24229999999999999</v>
      </c>
      <c r="K144" s="100">
        <f t="shared" ref="K144:K145" si="57">I144*J144</f>
        <v>162.566288117</v>
      </c>
      <c r="L144" s="95">
        <f t="shared" ref="L144:L145" si="58">ROUND(I144+K144,2)</f>
        <v>833.5</v>
      </c>
      <c r="M144" s="79"/>
      <c r="N144" s="78"/>
      <c r="O144" s="78"/>
      <c r="P144" s="78"/>
      <c r="Q144" s="78"/>
    </row>
    <row r="145" spans="1:17" ht="34.5" customHeight="1">
      <c r="A145" s="78"/>
      <c r="B145" s="91"/>
      <c r="C145" s="34">
        <v>3103302</v>
      </c>
      <c r="D145" s="448" t="s">
        <v>848</v>
      </c>
      <c r="E145" s="365"/>
      <c r="F145" s="35" t="s">
        <v>487</v>
      </c>
      <c r="G145" s="92">
        <v>6.83</v>
      </c>
      <c r="H145" s="93">
        <v>70.14</v>
      </c>
      <c r="I145" s="100">
        <f t="shared" si="56"/>
        <v>479.05619999999999</v>
      </c>
      <c r="J145" s="94">
        <v>0.24229999999999999</v>
      </c>
      <c r="K145" s="100">
        <f t="shared" si="57"/>
        <v>116.07531725999999</v>
      </c>
      <c r="L145" s="95">
        <f t="shared" si="58"/>
        <v>595.13</v>
      </c>
      <c r="M145" s="79"/>
      <c r="N145" s="78"/>
      <c r="O145" s="78"/>
      <c r="P145" s="78"/>
      <c r="Q145" s="78"/>
    </row>
    <row r="146" spans="1:17" ht="15" customHeight="1">
      <c r="A146" s="78"/>
      <c r="B146" s="459"/>
      <c r="C146" s="364"/>
      <c r="D146" s="364"/>
      <c r="E146" s="364"/>
      <c r="F146" s="364"/>
      <c r="G146" s="364"/>
      <c r="H146" s="364"/>
      <c r="I146" s="364"/>
      <c r="J146" s="365"/>
      <c r="K146" s="96" t="s">
        <v>526</v>
      </c>
      <c r="L146" s="88">
        <f>SUM(L144:L145)</f>
        <v>1428.63</v>
      </c>
      <c r="M146" s="79"/>
      <c r="N146" s="78"/>
      <c r="O146" s="78"/>
      <c r="P146" s="78"/>
      <c r="Q146" s="78"/>
    </row>
    <row r="147" spans="1:17" ht="15" customHeight="1">
      <c r="A147" s="78"/>
      <c r="B147" s="89" t="s">
        <v>965</v>
      </c>
      <c r="C147" s="231" t="s">
        <v>951</v>
      </c>
      <c r="D147" s="450" t="s">
        <v>695</v>
      </c>
      <c r="E147" s="364"/>
      <c r="F147" s="364"/>
      <c r="G147" s="364"/>
      <c r="H147" s="364"/>
      <c r="I147" s="364"/>
      <c r="J147" s="364"/>
      <c r="K147" s="364"/>
      <c r="L147" s="428"/>
      <c r="M147" s="79"/>
      <c r="N147" s="78"/>
      <c r="O147" s="78"/>
      <c r="P147" s="78"/>
      <c r="Q147" s="78"/>
    </row>
    <row r="148" spans="1:17" ht="15" customHeight="1">
      <c r="A148" s="78"/>
      <c r="B148" s="91"/>
      <c r="C148" s="34">
        <v>1107892</v>
      </c>
      <c r="D148" s="448" t="s">
        <v>840</v>
      </c>
      <c r="E148" s="365"/>
      <c r="F148" s="35" t="s">
        <v>501</v>
      </c>
      <c r="G148" s="92">
        <v>2.5139999999999998</v>
      </c>
      <c r="H148" s="93">
        <v>414.41</v>
      </c>
      <c r="I148" s="100">
        <f t="shared" ref="I148:I149" si="59">G148*H148</f>
        <v>1041.82674</v>
      </c>
      <c r="J148" s="94">
        <v>0.24229999999999999</v>
      </c>
      <c r="K148" s="100">
        <f t="shared" ref="K148:K149" si="60">I148*J148</f>
        <v>252.43461910199997</v>
      </c>
      <c r="L148" s="95">
        <f t="shared" ref="L148:L149" si="61">ROUND(I148+K148,2)</f>
        <v>1294.26</v>
      </c>
      <c r="M148" s="79"/>
      <c r="N148" s="78"/>
      <c r="O148" s="78"/>
      <c r="P148" s="78"/>
      <c r="Q148" s="78"/>
    </row>
    <row r="149" spans="1:17" ht="15" customHeight="1">
      <c r="A149" s="78"/>
      <c r="B149" s="91"/>
      <c r="C149" s="34">
        <v>3103302</v>
      </c>
      <c r="D149" s="448" t="s">
        <v>848</v>
      </c>
      <c r="E149" s="365"/>
      <c r="F149" s="35" t="s">
        <v>487</v>
      </c>
      <c r="G149" s="92">
        <v>9.68</v>
      </c>
      <c r="H149" s="93">
        <v>70.14</v>
      </c>
      <c r="I149" s="100">
        <f t="shared" si="59"/>
        <v>678.95519999999999</v>
      </c>
      <c r="J149" s="94">
        <v>0.24229999999999999</v>
      </c>
      <c r="K149" s="100">
        <f t="shared" si="60"/>
        <v>164.51084495999999</v>
      </c>
      <c r="L149" s="95">
        <f t="shared" si="61"/>
        <v>843.47</v>
      </c>
      <c r="M149" s="79"/>
      <c r="N149" s="78"/>
      <c r="O149" s="78"/>
      <c r="P149" s="78"/>
      <c r="Q149" s="78"/>
    </row>
    <row r="150" spans="1:17" ht="15" customHeight="1">
      <c r="A150" s="78"/>
      <c r="B150" s="459"/>
      <c r="C150" s="364"/>
      <c r="D150" s="364"/>
      <c r="E150" s="364"/>
      <c r="F150" s="364"/>
      <c r="G150" s="364"/>
      <c r="H150" s="364"/>
      <c r="I150" s="364"/>
      <c r="J150" s="365"/>
      <c r="K150" s="96" t="s">
        <v>526</v>
      </c>
      <c r="L150" s="88">
        <f>SUM(L148:L149)</f>
        <v>2137.73</v>
      </c>
      <c r="M150" s="79"/>
      <c r="N150" s="78"/>
      <c r="O150" s="78"/>
      <c r="P150" s="78"/>
      <c r="Q150" s="78"/>
    </row>
    <row r="151" spans="1:17" ht="15" customHeight="1">
      <c r="A151" s="78"/>
      <c r="B151" s="97" t="s">
        <v>966</v>
      </c>
      <c r="C151" s="233" t="s">
        <v>795</v>
      </c>
      <c r="D151" s="450" t="s">
        <v>794</v>
      </c>
      <c r="E151" s="457"/>
      <c r="F151" s="457"/>
      <c r="G151" s="457"/>
      <c r="H151" s="457"/>
      <c r="I151" s="457"/>
      <c r="J151" s="457"/>
      <c r="K151" s="457"/>
      <c r="L151" s="458"/>
      <c r="M151" s="79"/>
      <c r="N151" s="78"/>
      <c r="O151" s="78"/>
      <c r="P151" s="78"/>
      <c r="Q151" s="78"/>
    </row>
    <row r="152" spans="1:17" ht="15" customHeight="1">
      <c r="A152" s="78"/>
      <c r="B152" s="33"/>
      <c r="C152" s="34">
        <v>4805756</v>
      </c>
      <c r="D152" s="448" t="s">
        <v>796</v>
      </c>
      <c r="E152" s="449"/>
      <c r="F152" s="35" t="s">
        <v>799</v>
      </c>
      <c r="G152" s="92">
        <v>1.4484999999999999</v>
      </c>
      <c r="H152" s="93">
        <v>4.1399999999999997</v>
      </c>
      <c r="I152" s="100">
        <f t="shared" ref="I152:I154" si="62">G152*H152</f>
        <v>5.996789999999999</v>
      </c>
      <c r="J152" s="94">
        <v>0.24229999999999999</v>
      </c>
      <c r="K152" s="100">
        <f t="shared" ref="K152:K154" si="63">I152*J152</f>
        <v>1.4530222169999998</v>
      </c>
      <c r="L152" s="95">
        <f t="shared" ref="L152:L154" si="64">ROUND(I152+K152,2)</f>
        <v>7.45</v>
      </c>
      <c r="M152" s="79"/>
      <c r="N152" s="78"/>
      <c r="O152" s="78"/>
      <c r="P152" s="78"/>
      <c r="Q152" s="78"/>
    </row>
    <row r="153" spans="1:17" ht="15" customHeight="1">
      <c r="A153" s="78"/>
      <c r="B153" s="33"/>
      <c r="C153" s="34">
        <v>4805754</v>
      </c>
      <c r="D153" s="448" t="s">
        <v>797</v>
      </c>
      <c r="E153" s="449"/>
      <c r="F153" s="35" t="s">
        <v>800</v>
      </c>
      <c r="G153" s="92">
        <v>0.27</v>
      </c>
      <c r="H153" s="93">
        <v>5.9</v>
      </c>
      <c r="I153" s="100">
        <f t="shared" si="62"/>
        <v>1.5930000000000002</v>
      </c>
      <c r="J153" s="94">
        <v>0.24229999999999999</v>
      </c>
      <c r="K153" s="100">
        <f t="shared" si="63"/>
        <v>0.38598390000000005</v>
      </c>
      <c r="L153" s="95">
        <f t="shared" si="64"/>
        <v>1.98</v>
      </c>
      <c r="M153" s="79"/>
      <c r="N153" s="78"/>
      <c r="O153" s="78"/>
      <c r="P153" s="78"/>
      <c r="Q153" s="78"/>
    </row>
    <row r="154" spans="1:17" ht="15" customHeight="1">
      <c r="A154" s="78"/>
      <c r="B154" s="33"/>
      <c r="C154" s="34">
        <v>2004521</v>
      </c>
      <c r="D154" s="448" t="s">
        <v>798</v>
      </c>
      <c r="E154" s="449"/>
      <c r="F154" s="35" t="s">
        <v>800</v>
      </c>
      <c r="G154" s="92">
        <v>0.27</v>
      </c>
      <c r="H154" s="93">
        <v>14.69</v>
      </c>
      <c r="I154" s="100">
        <f t="shared" si="62"/>
        <v>3.9662999999999999</v>
      </c>
      <c r="J154" s="94">
        <v>0.24229999999999999</v>
      </c>
      <c r="K154" s="100">
        <f t="shared" si="63"/>
        <v>0.96103448999999996</v>
      </c>
      <c r="L154" s="95">
        <f t="shared" si="64"/>
        <v>4.93</v>
      </c>
      <c r="M154" s="79"/>
      <c r="N154" s="78"/>
      <c r="O154" s="78"/>
      <c r="P154" s="78"/>
      <c r="Q154" s="78"/>
    </row>
    <row r="155" spans="1:17" ht="15" customHeight="1">
      <c r="A155" s="78"/>
      <c r="B155" s="451"/>
      <c r="C155" s="364"/>
      <c r="D155" s="364"/>
      <c r="E155" s="364"/>
      <c r="F155" s="364"/>
      <c r="G155" s="364"/>
      <c r="H155" s="364"/>
      <c r="I155" s="364"/>
      <c r="J155" s="365"/>
      <c r="K155" s="103" t="s">
        <v>526</v>
      </c>
      <c r="L155" s="104">
        <f>SUM(L152:L154)</f>
        <v>14.36</v>
      </c>
      <c r="M155" s="79"/>
      <c r="N155" s="78"/>
      <c r="O155" s="78"/>
      <c r="P155" s="78"/>
      <c r="Q155" s="78"/>
    </row>
    <row r="156" spans="1:17" ht="23.25" customHeight="1">
      <c r="A156" s="78"/>
      <c r="B156" s="89" t="s">
        <v>967</v>
      </c>
      <c r="C156" s="231" t="s">
        <v>807</v>
      </c>
      <c r="D156" s="450" t="s">
        <v>808</v>
      </c>
      <c r="E156" s="364"/>
      <c r="F156" s="364"/>
      <c r="G156" s="364"/>
      <c r="H156" s="364"/>
      <c r="I156" s="364"/>
      <c r="J156" s="364"/>
      <c r="K156" s="364"/>
      <c r="L156" s="428"/>
      <c r="M156" s="79"/>
      <c r="N156" s="78"/>
      <c r="O156" s="78"/>
      <c r="P156" s="78"/>
      <c r="Q156" s="78"/>
    </row>
    <row r="157" spans="1:17" ht="15" customHeight="1">
      <c r="A157" s="78"/>
      <c r="B157" s="91"/>
      <c r="C157" s="34" t="s">
        <v>809</v>
      </c>
      <c r="D157" s="448" t="s">
        <v>813</v>
      </c>
      <c r="E157" s="449"/>
      <c r="F157" s="35" t="s">
        <v>528</v>
      </c>
      <c r="G157" s="92">
        <v>1.1627906976744187</v>
      </c>
      <c r="H157" s="93">
        <v>299.72149999999999</v>
      </c>
      <c r="I157" s="100">
        <f t="shared" ref="I157:I163" si="65">G157*H157</f>
        <v>348.51337209302329</v>
      </c>
      <c r="J157" s="94">
        <v>0.24229999999999999</v>
      </c>
      <c r="K157" s="100">
        <f t="shared" ref="K157:K163" si="66">I157*J157</f>
        <v>84.444790058139546</v>
      </c>
      <c r="L157" s="95">
        <f t="shared" ref="L157:L163" si="67">ROUND(I157+K157,2)</f>
        <v>432.96</v>
      </c>
      <c r="M157" s="79"/>
      <c r="N157" s="78"/>
      <c r="O157" s="78"/>
      <c r="P157" s="78"/>
      <c r="Q157" s="78"/>
    </row>
    <row r="158" spans="1:17" ht="15" customHeight="1">
      <c r="A158" s="78"/>
      <c r="B158" s="91"/>
      <c r="C158" s="34" t="s">
        <v>810</v>
      </c>
      <c r="D158" s="448" t="s">
        <v>814</v>
      </c>
      <c r="E158" s="449"/>
      <c r="F158" s="35" t="s">
        <v>528</v>
      </c>
      <c r="G158" s="92">
        <v>6.961186046511628</v>
      </c>
      <c r="H158" s="93">
        <v>18.510300000000001</v>
      </c>
      <c r="I158" s="100">
        <f t="shared" si="65"/>
        <v>128.85364207674419</v>
      </c>
      <c r="J158" s="94">
        <v>0.24229999999999999</v>
      </c>
      <c r="K158" s="100">
        <f t="shared" si="66"/>
        <v>31.221237475195117</v>
      </c>
      <c r="L158" s="95">
        <f t="shared" si="67"/>
        <v>160.07</v>
      </c>
      <c r="M158" s="79"/>
      <c r="N158" s="78"/>
      <c r="O158" s="78"/>
      <c r="P158" s="78"/>
      <c r="Q158" s="78"/>
    </row>
    <row r="159" spans="1:17" ht="15" customHeight="1">
      <c r="A159" s="78"/>
      <c r="B159" s="91"/>
      <c r="C159" s="34" t="s">
        <v>811</v>
      </c>
      <c r="D159" s="448" t="s">
        <v>815</v>
      </c>
      <c r="E159" s="449"/>
      <c r="F159" s="35" t="s">
        <v>528</v>
      </c>
      <c r="G159" s="92">
        <v>2.3100232558139537</v>
      </c>
      <c r="H159" s="93">
        <v>28.452500000000001</v>
      </c>
      <c r="I159" s="100">
        <f t="shared" si="65"/>
        <v>65.725936686046524</v>
      </c>
      <c r="J159" s="94">
        <v>0.24229999999999999</v>
      </c>
      <c r="K159" s="100">
        <f t="shared" si="66"/>
        <v>15.925394459029071</v>
      </c>
      <c r="L159" s="95">
        <f t="shared" si="67"/>
        <v>81.650000000000006</v>
      </c>
      <c r="M159" s="79"/>
      <c r="N159" s="78"/>
      <c r="O159" s="78"/>
      <c r="P159" s="78"/>
      <c r="Q159" s="78"/>
    </row>
    <row r="160" spans="1:17" ht="35.25" customHeight="1">
      <c r="A160" s="78"/>
      <c r="B160" s="91"/>
      <c r="C160" s="34" t="s">
        <v>812</v>
      </c>
      <c r="D160" s="448" t="s">
        <v>816</v>
      </c>
      <c r="E160" s="449"/>
      <c r="F160" s="35" t="s">
        <v>486</v>
      </c>
      <c r="G160" s="92">
        <v>1</v>
      </c>
      <c r="H160" s="93">
        <v>6038.8582999999999</v>
      </c>
      <c r="I160" s="100">
        <f t="shared" si="65"/>
        <v>6038.8582999999999</v>
      </c>
      <c r="J160" s="94">
        <v>0.24229999999999999</v>
      </c>
      <c r="K160" s="100">
        <f t="shared" si="66"/>
        <v>1463.2153660899999</v>
      </c>
      <c r="L160" s="95">
        <f t="shared" si="67"/>
        <v>7502.07</v>
      </c>
      <c r="M160" s="79"/>
      <c r="N160" s="78"/>
      <c r="O160" s="78"/>
      <c r="P160" s="78"/>
      <c r="Q160" s="78"/>
    </row>
    <row r="161" spans="1:17" ht="15" customHeight="1">
      <c r="A161" s="78"/>
      <c r="B161" s="91"/>
      <c r="C161" s="34">
        <v>2003850</v>
      </c>
      <c r="D161" s="448" t="s">
        <v>817</v>
      </c>
      <c r="E161" s="449"/>
      <c r="F161" s="35" t="s">
        <v>501</v>
      </c>
      <c r="G161" s="92">
        <v>1.1511627906976745</v>
      </c>
      <c r="H161" s="93">
        <v>163.49</v>
      </c>
      <c r="I161" s="100">
        <f t="shared" si="65"/>
        <v>188.20360465116281</v>
      </c>
      <c r="J161" s="94">
        <v>0.24229999999999999</v>
      </c>
      <c r="K161" s="100">
        <f t="shared" si="66"/>
        <v>45.601733406976749</v>
      </c>
      <c r="L161" s="95">
        <f t="shared" si="67"/>
        <v>233.81</v>
      </c>
      <c r="M161" s="79"/>
      <c r="N161" s="78"/>
      <c r="O161" s="78"/>
      <c r="P161" s="78"/>
      <c r="Q161" s="78"/>
    </row>
    <row r="162" spans="1:17" ht="15" customHeight="1">
      <c r="A162" s="78"/>
      <c r="B162" s="91"/>
      <c r="C162" s="34">
        <v>3806428</v>
      </c>
      <c r="D162" s="448" t="s">
        <v>818</v>
      </c>
      <c r="E162" s="449"/>
      <c r="F162" s="35" t="s">
        <v>501</v>
      </c>
      <c r="G162" s="92">
        <v>3.8755813953488372E-2</v>
      </c>
      <c r="H162" s="93">
        <v>36.1</v>
      </c>
      <c r="I162" s="100">
        <f t="shared" si="65"/>
        <v>1.3990848837209302</v>
      </c>
      <c r="J162" s="94">
        <v>0.24229999999999999</v>
      </c>
      <c r="K162" s="100">
        <f t="shared" si="66"/>
        <v>0.33899826732558136</v>
      </c>
      <c r="L162" s="95">
        <f t="shared" si="67"/>
        <v>1.74</v>
      </c>
      <c r="M162" s="79"/>
      <c r="N162" s="78"/>
      <c r="O162" s="78"/>
      <c r="P162" s="78"/>
      <c r="Q162" s="78"/>
    </row>
    <row r="163" spans="1:17" ht="15" customHeight="1">
      <c r="A163" s="78"/>
      <c r="B163" s="91"/>
      <c r="C163" s="34" t="s">
        <v>812</v>
      </c>
      <c r="D163" s="448" t="s">
        <v>819</v>
      </c>
      <c r="E163" s="449"/>
      <c r="F163" s="35" t="s">
        <v>659</v>
      </c>
      <c r="G163" s="92">
        <v>0.15465116279069768</v>
      </c>
      <c r="H163" s="93">
        <v>32.06</v>
      </c>
      <c r="I163" s="100">
        <f t="shared" si="65"/>
        <v>4.9581162790697677</v>
      </c>
      <c r="J163" s="94">
        <v>0.24229999999999999</v>
      </c>
      <c r="K163" s="100">
        <f t="shared" si="66"/>
        <v>1.2013515744186047</v>
      </c>
      <c r="L163" s="95">
        <f t="shared" si="67"/>
        <v>6.16</v>
      </c>
      <c r="M163" s="79"/>
      <c r="N163" s="78"/>
      <c r="O163" s="78"/>
      <c r="P163" s="78"/>
      <c r="Q163" s="78"/>
    </row>
    <row r="164" spans="1:17" ht="15" customHeight="1">
      <c r="A164" s="78"/>
      <c r="B164" s="447"/>
      <c r="C164" s="364"/>
      <c r="D164" s="364"/>
      <c r="E164" s="364"/>
      <c r="F164" s="364"/>
      <c r="G164" s="364"/>
      <c r="H164" s="364"/>
      <c r="I164" s="364"/>
      <c r="J164" s="365"/>
      <c r="K164" s="96" t="s">
        <v>526</v>
      </c>
      <c r="L164" s="88">
        <f>SUM(L157:L163)</f>
        <v>8418.4599999999991</v>
      </c>
      <c r="M164" s="247"/>
      <c r="N164" s="78"/>
      <c r="O164" s="78"/>
      <c r="P164" s="78"/>
      <c r="Q164" s="78"/>
    </row>
    <row r="165" spans="1:17" ht="15" customHeight="1">
      <c r="A165" s="78"/>
      <c r="B165" s="89" t="s">
        <v>1167</v>
      </c>
      <c r="C165" s="231" t="s">
        <v>821</v>
      </c>
      <c r="D165" s="450" t="s">
        <v>820</v>
      </c>
      <c r="E165" s="364"/>
      <c r="F165" s="364"/>
      <c r="G165" s="364"/>
      <c r="H165" s="364"/>
      <c r="I165" s="364"/>
      <c r="J165" s="364"/>
      <c r="K165" s="364"/>
      <c r="L165" s="428"/>
      <c r="M165" s="79"/>
      <c r="N165" s="78"/>
      <c r="O165" s="78"/>
      <c r="P165" s="78"/>
      <c r="Q165" s="78"/>
    </row>
    <row r="166" spans="1:17" ht="15" customHeight="1">
      <c r="A166" s="78"/>
      <c r="B166" s="91"/>
      <c r="C166" s="34" t="s">
        <v>810</v>
      </c>
      <c r="D166" s="448" t="s">
        <v>814</v>
      </c>
      <c r="E166" s="449"/>
      <c r="F166" s="34" t="s">
        <v>528</v>
      </c>
      <c r="G166" s="92">
        <f>4/1.68</f>
        <v>2.3809523809523809</v>
      </c>
      <c r="H166" s="93">
        <v>18.510300000000001</v>
      </c>
      <c r="I166" s="100">
        <f t="shared" ref="I166:I170" si="68">G166*H166</f>
        <v>44.072142857142858</v>
      </c>
      <c r="J166" s="94">
        <v>0.24229999999999999</v>
      </c>
      <c r="K166" s="100">
        <f t="shared" ref="K166:K170" si="69">I166*J166</f>
        <v>10.678680214285714</v>
      </c>
      <c r="L166" s="95">
        <f t="shared" ref="L166:L170" si="70">ROUND(I166+K166,2)</f>
        <v>54.75</v>
      </c>
      <c r="M166" s="79"/>
      <c r="N166" s="78"/>
      <c r="O166" s="78"/>
      <c r="P166" s="78"/>
      <c r="Q166" s="78"/>
    </row>
    <row r="167" spans="1:17" ht="15" customHeight="1">
      <c r="A167" s="78"/>
      <c r="B167" s="91"/>
      <c r="C167" s="34" t="s">
        <v>811</v>
      </c>
      <c r="D167" s="448" t="s">
        <v>815</v>
      </c>
      <c r="E167" s="449"/>
      <c r="F167" s="34" t="s">
        <v>528</v>
      </c>
      <c r="G167" s="92">
        <f>2/1.68</f>
        <v>1.1904761904761905</v>
      </c>
      <c r="H167" s="93">
        <v>28.452500000000001</v>
      </c>
      <c r="I167" s="100">
        <f t="shared" si="68"/>
        <v>33.87202380952381</v>
      </c>
      <c r="J167" s="94">
        <v>0.24229999999999999</v>
      </c>
      <c r="K167" s="100">
        <f t="shared" si="69"/>
        <v>8.207191369047619</v>
      </c>
      <c r="L167" s="95">
        <f t="shared" si="70"/>
        <v>42.08</v>
      </c>
      <c r="M167" s="79"/>
      <c r="N167" s="78"/>
      <c r="O167" s="78"/>
      <c r="P167" s="78"/>
      <c r="Q167" s="78"/>
    </row>
    <row r="168" spans="1:17" ht="37.5" customHeight="1">
      <c r="A168" s="78"/>
      <c r="B168" s="91"/>
      <c r="C168" s="34" t="s">
        <v>812</v>
      </c>
      <c r="D168" s="448" t="s">
        <v>822</v>
      </c>
      <c r="E168" s="449"/>
      <c r="F168" s="34" t="s">
        <v>486</v>
      </c>
      <c r="G168" s="92">
        <v>1</v>
      </c>
      <c r="H168" s="93">
        <v>4047.6415999999999</v>
      </c>
      <c r="I168" s="100">
        <f t="shared" si="68"/>
        <v>4047.6415999999999</v>
      </c>
      <c r="J168" s="94">
        <v>0.24229999999999999</v>
      </c>
      <c r="K168" s="100">
        <f t="shared" si="69"/>
        <v>980.74355967999998</v>
      </c>
      <c r="L168" s="95">
        <f t="shared" si="70"/>
        <v>5028.3900000000003</v>
      </c>
      <c r="M168" s="79"/>
      <c r="N168" s="78"/>
      <c r="O168" s="78"/>
      <c r="P168" s="78"/>
      <c r="Q168" s="78"/>
    </row>
    <row r="169" spans="1:17" ht="15" customHeight="1">
      <c r="A169" s="78"/>
      <c r="B169" s="91"/>
      <c r="C169" s="34">
        <v>2003850</v>
      </c>
      <c r="D169" s="448" t="s">
        <v>817</v>
      </c>
      <c r="E169" s="449"/>
      <c r="F169" s="34" t="s">
        <v>501</v>
      </c>
      <c r="G169" s="92">
        <f>0.81</f>
        <v>0.81</v>
      </c>
      <c r="H169" s="93">
        <v>163.49</v>
      </c>
      <c r="I169" s="100">
        <f t="shared" si="68"/>
        <v>132.42690000000002</v>
      </c>
      <c r="J169" s="94">
        <v>0.24229999999999999</v>
      </c>
      <c r="K169" s="100">
        <f t="shared" si="69"/>
        <v>32.087037870000003</v>
      </c>
      <c r="L169" s="95">
        <f t="shared" si="70"/>
        <v>164.51</v>
      </c>
      <c r="M169" s="79"/>
      <c r="N169" s="78"/>
      <c r="O169" s="78"/>
      <c r="P169" s="78"/>
      <c r="Q169" s="78"/>
    </row>
    <row r="170" spans="1:17" ht="15" customHeight="1">
      <c r="A170" s="78"/>
      <c r="B170" s="91"/>
      <c r="C170" s="34" t="s">
        <v>812</v>
      </c>
      <c r="D170" s="448" t="s">
        <v>819</v>
      </c>
      <c r="E170" s="449"/>
      <c r="F170" s="34" t="s">
        <v>659</v>
      </c>
      <c r="G170" s="92">
        <f>0.086</f>
        <v>8.5999999999999993E-2</v>
      </c>
      <c r="H170" s="93">
        <v>31.5</v>
      </c>
      <c r="I170" s="100">
        <f t="shared" si="68"/>
        <v>2.7089999999999996</v>
      </c>
      <c r="J170" s="94">
        <v>0.24229999999999999</v>
      </c>
      <c r="K170" s="100">
        <f t="shared" si="69"/>
        <v>0.65639069999999988</v>
      </c>
      <c r="L170" s="95">
        <f t="shared" si="70"/>
        <v>3.37</v>
      </c>
      <c r="M170" s="79"/>
      <c r="N170" s="78"/>
      <c r="O170" s="78"/>
      <c r="P170" s="78"/>
      <c r="Q170" s="78"/>
    </row>
    <row r="171" spans="1:17" ht="15" customHeight="1">
      <c r="A171" s="78"/>
      <c r="B171" s="447"/>
      <c r="C171" s="364"/>
      <c r="D171" s="364"/>
      <c r="E171" s="364"/>
      <c r="F171" s="364"/>
      <c r="G171" s="364"/>
      <c r="H171" s="364"/>
      <c r="I171" s="364"/>
      <c r="J171" s="365"/>
      <c r="K171" s="96" t="s">
        <v>526</v>
      </c>
      <c r="L171" s="88">
        <f>SUM(L166:L170)</f>
        <v>5293.1</v>
      </c>
      <c r="M171" s="79"/>
      <c r="N171" s="78"/>
      <c r="O171" s="78"/>
      <c r="P171" s="78"/>
      <c r="Q171" s="78"/>
    </row>
    <row r="172" spans="1:17" ht="15" customHeight="1">
      <c r="A172" s="78"/>
      <c r="B172" s="89" t="s">
        <v>1168</v>
      </c>
      <c r="C172" s="231" t="s">
        <v>825</v>
      </c>
      <c r="D172" s="450" t="s">
        <v>823</v>
      </c>
      <c r="E172" s="364"/>
      <c r="F172" s="364"/>
      <c r="G172" s="364"/>
      <c r="H172" s="364"/>
      <c r="I172" s="364"/>
      <c r="J172" s="364"/>
      <c r="K172" s="364"/>
      <c r="L172" s="428"/>
      <c r="M172" s="79"/>
      <c r="N172" s="78"/>
      <c r="O172" s="78"/>
      <c r="P172" s="78"/>
      <c r="Q172" s="78"/>
    </row>
    <row r="173" spans="1:17" ht="15" customHeight="1">
      <c r="A173" s="78"/>
      <c r="B173" s="91"/>
      <c r="C173" s="34" t="s">
        <v>810</v>
      </c>
      <c r="D173" s="448" t="s">
        <v>814</v>
      </c>
      <c r="E173" s="449"/>
      <c r="F173" s="34" t="s">
        <v>528</v>
      </c>
      <c r="G173" s="92">
        <f>4/3</f>
        <v>1.3333333333333333</v>
      </c>
      <c r="H173" s="93">
        <v>18.510300000000001</v>
      </c>
      <c r="I173" s="100">
        <f t="shared" ref="I173:I177" si="71">G173*H173</f>
        <v>24.680399999999999</v>
      </c>
      <c r="J173" s="94">
        <v>0.24229999999999999</v>
      </c>
      <c r="K173" s="100">
        <f t="shared" ref="K173:K177" si="72">I173*J173</f>
        <v>5.9800609199999997</v>
      </c>
      <c r="L173" s="95">
        <f t="shared" ref="L173:L177" si="73">ROUND(I173+K173,2)</f>
        <v>30.66</v>
      </c>
      <c r="M173" s="79"/>
      <c r="N173" s="78"/>
      <c r="O173" s="78"/>
      <c r="P173" s="78"/>
      <c r="Q173" s="78"/>
    </row>
    <row r="174" spans="1:17" ht="15" customHeight="1">
      <c r="A174" s="78"/>
      <c r="B174" s="91"/>
      <c r="C174" s="34" t="s">
        <v>811</v>
      </c>
      <c r="D174" s="448" t="s">
        <v>815</v>
      </c>
      <c r="E174" s="449"/>
      <c r="F174" s="34" t="s">
        <v>528</v>
      </c>
      <c r="G174" s="92">
        <f>2/3</f>
        <v>0.66666666666666663</v>
      </c>
      <c r="H174" s="93">
        <v>28.452500000000001</v>
      </c>
      <c r="I174" s="100">
        <f t="shared" si="71"/>
        <v>18.968333333333334</v>
      </c>
      <c r="J174" s="94">
        <v>0.24229999999999999</v>
      </c>
      <c r="K174" s="100">
        <f t="shared" si="72"/>
        <v>4.5960271666666666</v>
      </c>
      <c r="L174" s="95">
        <f t="shared" si="73"/>
        <v>23.56</v>
      </c>
      <c r="M174" s="79"/>
      <c r="N174" s="78"/>
      <c r="O174" s="78"/>
      <c r="P174" s="78"/>
      <c r="Q174" s="78"/>
    </row>
    <row r="175" spans="1:17" ht="32.25" customHeight="1">
      <c r="A175" s="78"/>
      <c r="B175" s="91"/>
      <c r="C175" s="34" t="s">
        <v>812</v>
      </c>
      <c r="D175" s="448" t="s">
        <v>824</v>
      </c>
      <c r="E175" s="449"/>
      <c r="F175" s="34" t="s">
        <v>486</v>
      </c>
      <c r="G175" s="92">
        <v>1</v>
      </c>
      <c r="H175" s="93">
        <v>2761.9301</v>
      </c>
      <c r="I175" s="100">
        <f t="shared" si="71"/>
        <v>2761.9301</v>
      </c>
      <c r="J175" s="94">
        <v>0.24229999999999999</v>
      </c>
      <c r="K175" s="100">
        <f t="shared" si="72"/>
        <v>669.21566323000002</v>
      </c>
      <c r="L175" s="95">
        <f t="shared" si="73"/>
        <v>3431.15</v>
      </c>
      <c r="M175" s="79"/>
      <c r="N175" s="78"/>
      <c r="O175" s="78"/>
      <c r="P175" s="78"/>
      <c r="Q175" s="78"/>
    </row>
    <row r="176" spans="1:17" ht="15" customHeight="1">
      <c r="A176" s="78"/>
      <c r="B176" s="91"/>
      <c r="C176" s="34">
        <v>2003850</v>
      </c>
      <c r="D176" s="448" t="s">
        <v>817</v>
      </c>
      <c r="E176" s="449"/>
      <c r="F176" s="34" t="s">
        <v>501</v>
      </c>
      <c r="G176" s="92">
        <v>0.42</v>
      </c>
      <c r="H176" s="93">
        <v>163.49</v>
      </c>
      <c r="I176" s="100">
        <f t="shared" si="71"/>
        <v>68.665800000000004</v>
      </c>
      <c r="J176" s="94">
        <v>0.24229999999999999</v>
      </c>
      <c r="K176" s="100">
        <f t="shared" si="72"/>
        <v>16.637723340000001</v>
      </c>
      <c r="L176" s="95">
        <f t="shared" si="73"/>
        <v>85.3</v>
      </c>
      <c r="M176" s="79"/>
      <c r="N176" s="78"/>
      <c r="O176" s="78"/>
      <c r="P176" s="78"/>
      <c r="Q176" s="78"/>
    </row>
    <row r="177" spans="1:17" ht="15" customHeight="1">
      <c r="A177" s="78"/>
      <c r="B177" s="91"/>
      <c r="C177" s="34" t="s">
        <v>812</v>
      </c>
      <c r="D177" s="448" t="s">
        <v>819</v>
      </c>
      <c r="E177" s="449"/>
      <c r="F177" s="34" t="s">
        <v>659</v>
      </c>
      <c r="G177" s="92">
        <v>5.5999999999999999E-3</v>
      </c>
      <c r="H177" s="93">
        <v>31.5</v>
      </c>
      <c r="I177" s="100">
        <f t="shared" si="71"/>
        <v>0.1764</v>
      </c>
      <c r="J177" s="94">
        <v>0.24229999999999999</v>
      </c>
      <c r="K177" s="100">
        <f t="shared" si="72"/>
        <v>4.2741719999999997E-2</v>
      </c>
      <c r="L177" s="95">
        <f t="shared" si="73"/>
        <v>0.22</v>
      </c>
      <c r="M177" s="79"/>
      <c r="N177" s="78"/>
      <c r="O177" s="78"/>
      <c r="P177" s="78"/>
      <c r="Q177" s="78"/>
    </row>
    <row r="178" spans="1:17" ht="15" customHeight="1">
      <c r="A178" s="78"/>
      <c r="B178" s="447"/>
      <c r="C178" s="364"/>
      <c r="D178" s="364"/>
      <c r="E178" s="364"/>
      <c r="F178" s="364"/>
      <c r="G178" s="364"/>
      <c r="H178" s="364"/>
      <c r="I178" s="364"/>
      <c r="J178" s="365"/>
      <c r="K178" s="96" t="s">
        <v>526</v>
      </c>
      <c r="L178" s="88">
        <f>SUM(L173:L177)</f>
        <v>3570.89</v>
      </c>
      <c r="M178" s="79"/>
      <c r="N178" s="78"/>
      <c r="O178" s="78"/>
      <c r="P178" s="78"/>
      <c r="Q178" s="78"/>
    </row>
    <row r="179" spans="1:17" ht="15" customHeight="1">
      <c r="A179" s="78"/>
      <c r="B179" s="89" t="s">
        <v>1169</v>
      </c>
      <c r="C179" s="231" t="s">
        <v>827</v>
      </c>
      <c r="D179" s="450" t="s">
        <v>826</v>
      </c>
      <c r="E179" s="364"/>
      <c r="F179" s="364"/>
      <c r="G179" s="364"/>
      <c r="H179" s="364"/>
      <c r="I179" s="364"/>
      <c r="J179" s="364"/>
      <c r="K179" s="364"/>
      <c r="L179" s="428"/>
      <c r="M179" s="79"/>
      <c r="N179" s="78"/>
      <c r="O179" s="78"/>
      <c r="P179" s="78"/>
      <c r="Q179" s="78"/>
    </row>
    <row r="180" spans="1:17" ht="15" customHeight="1">
      <c r="A180" s="78"/>
      <c r="B180" s="91"/>
      <c r="C180" s="34" t="s">
        <v>810</v>
      </c>
      <c r="D180" s="448" t="s">
        <v>814</v>
      </c>
      <c r="E180" s="449"/>
      <c r="F180" s="34" t="s">
        <v>528</v>
      </c>
      <c r="G180" s="92">
        <f>4/3.33</f>
        <v>1.2012012012012012</v>
      </c>
      <c r="H180" s="93">
        <v>18.510300000000001</v>
      </c>
      <c r="I180" s="100">
        <f t="shared" ref="I180:I184" si="74">G180*H180</f>
        <v>22.234594594594597</v>
      </c>
      <c r="J180" s="94">
        <v>0.24229999999999999</v>
      </c>
      <c r="K180" s="100">
        <f t="shared" ref="K180:K184" si="75">I180*J180</f>
        <v>5.3874422702702702</v>
      </c>
      <c r="L180" s="95">
        <f t="shared" ref="L180:L184" si="76">ROUND(I180+K180,2)</f>
        <v>27.62</v>
      </c>
      <c r="M180" s="79"/>
      <c r="N180" s="78"/>
      <c r="O180" s="78"/>
      <c r="P180" s="78"/>
      <c r="Q180" s="78"/>
    </row>
    <row r="181" spans="1:17" ht="15" customHeight="1">
      <c r="A181" s="78"/>
      <c r="B181" s="91"/>
      <c r="C181" s="34" t="s">
        <v>811</v>
      </c>
      <c r="D181" s="448" t="s">
        <v>815</v>
      </c>
      <c r="E181" s="449"/>
      <c r="F181" s="34" t="s">
        <v>528</v>
      </c>
      <c r="G181" s="92">
        <f>2/3.33</f>
        <v>0.60060060060060061</v>
      </c>
      <c r="H181" s="93">
        <v>28.452500000000001</v>
      </c>
      <c r="I181" s="100">
        <f t="shared" si="74"/>
        <v>17.088588588588589</v>
      </c>
      <c r="J181" s="94">
        <v>0.24229999999999999</v>
      </c>
      <c r="K181" s="100">
        <f t="shared" si="75"/>
        <v>4.1405650150150146</v>
      </c>
      <c r="L181" s="95">
        <f t="shared" si="76"/>
        <v>21.23</v>
      </c>
      <c r="M181" s="79"/>
      <c r="N181" s="78"/>
      <c r="O181" s="78"/>
      <c r="P181" s="78"/>
      <c r="Q181" s="78"/>
    </row>
    <row r="182" spans="1:17" ht="15" customHeight="1">
      <c r="A182" s="78"/>
      <c r="B182" s="91"/>
      <c r="C182" s="34" t="s">
        <v>812</v>
      </c>
      <c r="D182" s="448" t="s">
        <v>824</v>
      </c>
      <c r="E182" s="449"/>
      <c r="F182" s="34" t="s">
        <v>486</v>
      </c>
      <c r="G182" s="92">
        <v>1</v>
      </c>
      <c r="H182" s="93">
        <v>2190.4695000000002</v>
      </c>
      <c r="I182" s="100">
        <f t="shared" si="74"/>
        <v>2190.4695000000002</v>
      </c>
      <c r="J182" s="94">
        <v>0.24229999999999999</v>
      </c>
      <c r="K182" s="100">
        <f t="shared" si="75"/>
        <v>530.75075985000001</v>
      </c>
      <c r="L182" s="95">
        <f t="shared" si="76"/>
        <v>2721.22</v>
      </c>
      <c r="M182" s="79"/>
      <c r="N182" s="78"/>
      <c r="O182" s="78"/>
      <c r="P182" s="78"/>
      <c r="Q182" s="78"/>
    </row>
    <row r="183" spans="1:17" ht="15" customHeight="1">
      <c r="A183" s="78"/>
      <c r="B183" s="91"/>
      <c r="C183" s="34">
        <v>2003850</v>
      </c>
      <c r="D183" s="448" t="s">
        <v>817</v>
      </c>
      <c r="E183" s="449"/>
      <c r="F183" s="34" t="s">
        <v>501</v>
      </c>
      <c r="G183" s="92">
        <v>0.38</v>
      </c>
      <c r="H183" s="93">
        <v>163.49</v>
      </c>
      <c r="I183" s="100">
        <f t="shared" si="74"/>
        <v>62.126200000000004</v>
      </c>
      <c r="J183" s="94">
        <v>0.24229999999999999</v>
      </c>
      <c r="K183" s="100">
        <f t="shared" si="75"/>
        <v>15.053178260000001</v>
      </c>
      <c r="L183" s="95">
        <f t="shared" si="76"/>
        <v>77.180000000000007</v>
      </c>
      <c r="M183" s="79"/>
      <c r="N183" s="78"/>
      <c r="O183" s="78"/>
      <c r="P183" s="78"/>
      <c r="Q183" s="78"/>
    </row>
    <row r="184" spans="1:17" ht="15" customHeight="1">
      <c r="A184" s="78"/>
      <c r="B184" s="91"/>
      <c r="C184" s="34" t="s">
        <v>812</v>
      </c>
      <c r="D184" s="448" t="s">
        <v>819</v>
      </c>
      <c r="E184" s="449"/>
      <c r="F184" s="34" t="s">
        <v>659</v>
      </c>
      <c r="G184" s="92">
        <v>4.5999999999999999E-2</v>
      </c>
      <c r="H184" s="93">
        <v>31.5</v>
      </c>
      <c r="I184" s="100">
        <f t="shared" si="74"/>
        <v>1.4490000000000001</v>
      </c>
      <c r="J184" s="94">
        <v>0.24229999999999999</v>
      </c>
      <c r="K184" s="100">
        <f t="shared" si="75"/>
        <v>0.35109269999999998</v>
      </c>
      <c r="L184" s="95">
        <f t="shared" si="76"/>
        <v>1.8</v>
      </c>
      <c r="M184" s="79"/>
      <c r="N184" s="78"/>
      <c r="O184" s="78"/>
      <c r="P184" s="78"/>
      <c r="Q184" s="78"/>
    </row>
    <row r="185" spans="1:17" ht="15" customHeight="1">
      <c r="A185" s="78"/>
      <c r="B185" s="447"/>
      <c r="C185" s="364"/>
      <c r="D185" s="364"/>
      <c r="E185" s="364"/>
      <c r="F185" s="364"/>
      <c r="G185" s="364"/>
      <c r="H185" s="364"/>
      <c r="I185" s="364"/>
      <c r="J185" s="365"/>
      <c r="K185" s="96" t="s">
        <v>526</v>
      </c>
      <c r="L185" s="88">
        <f>SUM(L180:L184)</f>
        <v>2849.0499999999997</v>
      </c>
      <c r="M185" s="79"/>
      <c r="N185" s="78"/>
      <c r="O185" s="78"/>
      <c r="P185" s="78"/>
      <c r="Q185" s="78"/>
    </row>
    <row r="186" spans="1:17" ht="15" customHeight="1">
      <c r="A186" s="78"/>
      <c r="B186" s="89" t="s">
        <v>1170</v>
      </c>
      <c r="C186" s="231" t="s">
        <v>829</v>
      </c>
      <c r="D186" s="450" t="s">
        <v>828</v>
      </c>
      <c r="E186" s="364"/>
      <c r="F186" s="364"/>
      <c r="G186" s="364"/>
      <c r="H186" s="364"/>
      <c r="I186" s="364"/>
      <c r="J186" s="364"/>
      <c r="K186" s="364"/>
      <c r="L186" s="428"/>
      <c r="M186" s="79"/>
      <c r="N186" s="78"/>
      <c r="O186" s="78"/>
      <c r="P186" s="78"/>
      <c r="Q186" s="78"/>
    </row>
    <row r="187" spans="1:17" ht="15" customHeight="1">
      <c r="A187" s="78"/>
      <c r="B187" s="91"/>
      <c r="C187" s="34" t="s">
        <v>810</v>
      </c>
      <c r="D187" s="448" t="s">
        <v>814</v>
      </c>
      <c r="E187" s="449"/>
      <c r="F187" s="34" t="s">
        <v>528</v>
      </c>
      <c r="G187" s="92">
        <f>4/3.75</f>
        <v>1.0666666666666667</v>
      </c>
      <c r="H187" s="93">
        <v>18.510300000000001</v>
      </c>
      <c r="I187" s="100">
        <f t="shared" ref="I187:I191" si="77">G187*H187</f>
        <v>19.744320000000002</v>
      </c>
      <c r="J187" s="94">
        <v>0.24229999999999999</v>
      </c>
      <c r="K187" s="100">
        <f t="shared" ref="K187:K191" si="78">I187*J187</f>
        <v>4.7840487359999999</v>
      </c>
      <c r="L187" s="95">
        <f t="shared" ref="L187:L191" si="79">ROUND(I187+K187,2)</f>
        <v>24.53</v>
      </c>
      <c r="M187" s="79"/>
      <c r="N187" s="78"/>
      <c r="O187" s="78"/>
      <c r="P187" s="78"/>
      <c r="Q187" s="78"/>
    </row>
    <row r="188" spans="1:17" ht="15" customHeight="1">
      <c r="A188" s="78"/>
      <c r="B188" s="91"/>
      <c r="C188" s="34" t="s">
        <v>811</v>
      </c>
      <c r="D188" s="448" t="s">
        <v>815</v>
      </c>
      <c r="E188" s="449"/>
      <c r="F188" s="34" t="s">
        <v>528</v>
      </c>
      <c r="G188" s="92">
        <f>2/3.75</f>
        <v>0.53333333333333333</v>
      </c>
      <c r="H188" s="93">
        <v>28.452500000000001</v>
      </c>
      <c r="I188" s="100">
        <f t="shared" si="77"/>
        <v>15.174666666666667</v>
      </c>
      <c r="J188" s="94">
        <v>0.24229999999999999</v>
      </c>
      <c r="K188" s="100">
        <f t="shared" si="78"/>
        <v>3.6768217333333331</v>
      </c>
      <c r="L188" s="95">
        <f t="shared" si="79"/>
        <v>18.850000000000001</v>
      </c>
      <c r="M188" s="79"/>
      <c r="N188" s="78"/>
      <c r="O188" s="78"/>
      <c r="P188" s="78"/>
      <c r="Q188" s="78"/>
    </row>
    <row r="189" spans="1:17" ht="15" customHeight="1">
      <c r="A189" s="78"/>
      <c r="B189" s="91"/>
      <c r="C189" s="34" t="s">
        <v>812</v>
      </c>
      <c r="D189" s="448" t="s">
        <v>824</v>
      </c>
      <c r="E189" s="449"/>
      <c r="F189" s="34" t="s">
        <v>486</v>
      </c>
      <c r="G189" s="92">
        <v>1</v>
      </c>
      <c r="H189" s="93">
        <v>1761.8996</v>
      </c>
      <c r="I189" s="100">
        <f t="shared" si="77"/>
        <v>1761.8996</v>
      </c>
      <c r="J189" s="94">
        <v>0.24229999999999999</v>
      </c>
      <c r="K189" s="100">
        <f t="shared" si="78"/>
        <v>426.90827307999996</v>
      </c>
      <c r="L189" s="95">
        <f t="shared" si="79"/>
        <v>2188.81</v>
      </c>
      <c r="M189" s="79"/>
      <c r="N189" s="78"/>
      <c r="O189" s="78"/>
      <c r="P189" s="78"/>
      <c r="Q189" s="78"/>
    </row>
    <row r="190" spans="1:17" ht="15" customHeight="1">
      <c r="A190" s="78"/>
      <c r="B190" s="91"/>
      <c r="C190" s="34">
        <v>2003850</v>
      </c>
      <c r="D190" s="448" t="s">
        <v>817</v>
      </c>
      <c r="E190" s="449"/>
      <c r="F190" s="34" t="s">
        <v>501</v>
      </c>
      <c r="G190" s="92">
        <v>0.34</v>
      </c>
      <c r="H190" s="93">
        <v>163.49</v>
      </c>
      <c r="I190" s="100">
        <f t="shared" si="77"/>
        <v>55.586600000000004</v>
      </c>
      <c r="J190" s="94">
        <v>0.24229999999999999</v>
      </c>
      <c r="K190" s="100">
        <f t="shared" si="78"/>
        <v>13.468633180000001</v>
      </c>
      <c r="L190" s="95">
        <f t="shared" si="79"/>
        <v>69.06</v>
      </c>
      <c r="M190" s="79"/>
      <c r="N190" s="78"/>
      <c r="O190" s="78"/>
      <c r="P190" s="78"/>
      <c r="Q190" s="78"/>
    </row>
    <row r="191" spans="1:17" ht="15" customHeight="1">
      <c r="A191" s="78"/>
      <c r="B191" s="91"/>
      <c r="C191" s="34" t="s">
        <v>812</v>
      </c>
      <c r="D191" s="448" t="s">
        <v>819</v>
      </c>
      <c r="E191" s="449"/>
      <c r="F191" s="34" t="s">
        <v>659</v>
      </c>
      <c r="G191" s="92">
        <v>3.6999999999999998E-2</v>
      </c>
      <c r="H191" s="93">
        <v>31.5</v>
      </c>
      <c r="I191" s="100">
        <f t="shared" si="77"/>
        <v>1.1655</v>
      </c>
      <c r="J191" s="94">
        <v>0.24229999999999999</v>
      </c>
      <c r="K191" s="100">
        <f t="shared" si="78"/>
        <v>0.28240064999999998</v>
      </c>
      <c r="L191" s="95">
        <f t="shared" si="79"/>
        <v>1.45</v>
      </c>
      <c r="M191" s="79"/>
      <c r="N191" s="78"/>
      <c r="O191" s="78"/>
      <c r="P191" s="78"/>
      <c r="Q191" s="78"/>
    </row>
    <row r="192" spans="1:17" ht="15" customHeight="1">
      <c r="A192" s="78"/>
      <c r="B192" s="447"/>
      <c r="C192" s="364"/>
      <c r="D192" s="364"/>
      <c r="E192" s="364"/>
      <c r="F192" s="364"/>
      <c r="G192" s="364"/>
      <c r="H192" s="364"/>
      <c r="I192" s="364"/>
      <c r="J192" s="365"/>
      <c r="K192" s="96" t="s">
        <v>526</v>
      </c>
      <c r="L192" s="88">
        <f>SUM(L187:L191)</f>
        <v>2302.6999999999998</v>
      </c>
      <c r="M192" s="79"/>
      <c r="N192" s="78"/>
      <c r="O192" s="78"/>
      <c r="P192" s="78"/>
      <c r="Q192" s="78"/>
    </row>
    <row r="193" spans="1:17" ht="15" customHeight="1">
      <c r="A193" s="78"/>
      <c r="B193" s="89" t="s">
        <v>1171</v>
      </c>
      <c r="C193" s="231" t="s">
        <v>1200</v>
      </c>
      <c r="D193" s="450" t="s">
        <v>1201</v>
      </c>
      <c r="E193" s="364"/>
      <c r="F193" s="364"/>
      <c r="G193" s="364"/>
      <c r="H193" s="364"/>
      <c r="I193" s="364"/>
      <c r="J193" s="364"/>
      <c r="K193" s="364"/>
      <c r="L193" s="428"/>
      <c r="M193" s="79"/>
      <c r="N193" s="78"/>
      <c r="O193" s="78"/>
      <c r="P193" s="78"/>
      <c r="Q193" s="78"/>
    </row>
    <row r="194" spans="1:17" ht="15" customHeight="1">
      <c r="A194" s="78"/>
      <c r="B194" s="91"/>
      <c r="C194" s="34">
        <v>1100657</v>
      </c>
      <c r="D194" s="448" t="s">
        <v>837</v>
      </c>
      <c r="E194" s="449"/>
      <c r="F194" s="34" t="s">
        <v>800</v>
      </c>
      <c r="G194" s="92">
        <v>15.025</v>
      </c>
      <c r="H194" s="93">
        <v>2.92</v>
      </c>
      <c r="I194" s="100">
        <f t="shared" ref="I194:I199" si="80">G194*H194</f>
        <v>43.872999999999998</v>
      </c>
      <c r="J194" s="94">
        <v>0.24229999999999999</v>
      </c>
      <c r="K194" s="100">
        <f t="shared" ref="K194:K199" si="81">I194*J194</f>
        <v>10.630427899999999</v>
      </c>
      <c r="L194" s="95">
        <f t="shared" ref="L194:L199" si="82">ROUND(I194+K194,2)</f>
        <v>54.5</v>
      </c>
      <c r="M194" s="79"/>
      <c r="N194" s="78"/>
      <c r="O194" s="78"/>
      <c r="P194" s="78"/>
      <c r="Q194" s="78"/>
    </row>
    <row r="195" spans="1:17" ht="15" customHeight="1">
      <c r="A195" s="78"/>
      <c r="B195" s="91"/>
      <c r="C195" s="34">
        <v>1109669</v>
      </c>
      <c r="D195" s="448" t="s">
        <v>838</v>
      </c>
      <c r="E195" s="449"/>
      <c r="F195" s="34" t="s">
        <v>800</v>
      </c>
      <c r="G195" s="92">
        <v>0.97499999999999998</v>
      </c>
      <c r="H195" s="93">
        <v>436.84</v>
      </c>
      <c r="I195" s="100">
        <f t="shared" si="80"/>
        <v>425.91899999999998</v>
      </c>
      <c r="J195" s="94">
        <v>0.24229999999999999</v>
      </c>
      <c r="K195" s="100">
        <f t="shared" si="81"/>
        <v>103.20017369999999</v>
      </c>
      <c r="L195" s="95">
        <f t="shared" si="82"/>
        <v>529.12</v>
      </c>
      <c r="M195" s="79"/>
      <c r="N195" s="78"/>
      <c r="O195" s="78"/>
      <c r="P195" s="78"/>
      <c r="Q195" s="78"/>
    </row>
    <row r="196" spans="1:17" ht="15" customHeight="1">
      <c r="A196" s="78"/>
      <c r="B196" s="91"/>
      <c r="C196" s="34">
        <v>407819</v>
      </c>
      <c r="D196" s="448" t="s">
        <v>839</v>
      </c>
      <c r="E196" s="449"/>
      <c r="F196" s="34" t="s">
        <v>849</v>
      </c>
      <c r="G196" s="92">
        <v>1099.5</v>
      </c>
      <c r="H196" s="93">
        <v>12.58</v>
      </c>
      <c r="I196" s="100">
        <f t="shared" si="80"/>
        <v>13831.710000000001</v>
      </c>
      <c r="J196" s="94">
        <v>0.24229999999999999</v>
      </c>
      <c r="K196" s="100">
        <f t="shared" si="81"/>
        <v>3351.4233330000002</v>
      </c>
      <c r="L196" s="95">
        <f t="shared" si="82"/>
        <v>17183.13</v>
      </c>
      <c r="M196" s="79"/>
      <c r="N196" s="78"/>
      <c r="O196" s="78"/>
      <c r="P196" s="78"/>
      <c r="Q196" s="78"/>
    </row>
    <row r="197" spans="1:17" ht="15" customHeight="1">
      <c r="A197" s="78"/>
      <c r="B197" s="91"/>
      <c r="C197" s="34">
        <v>1107892</v>
      </c>
      <c r="D197" s="448" t="s">
        <v>840</v>
      </c>
      <c r="E197" s="449"/>
      <c r="F197" s="34" t="s">
        <v>800</v>
      </c>
      <c r="G197" s="92">
        <v>15.025</v>
      </c>
      <c r="H197" s="93">
        <v>414.41</v>
      </c>
      <c r="I197" s="100">
        <f t="shared" si="80"/>
        <v>6226.5102500000003</v>
      </c>
      <c r="J197" s="94">
        <v>0.24229999999999999</v>
      </c>
      <c r="K197" s="100">
        <f t="shared" si="81"/>
        <v>1508.683433575</v>
      </c>
      <c r="L197" s="95">
        <f t="shared" si="82"/>
        <v>7735.19</v>
      </c>
      <c r="M197" s="79"/>
      <c r="N197" s="78"/>
      <c r="O197" s="78"/>
      <c r="P197" s="78"/>
      <c r="Q197" s="78"/>
    </row>
    <row r="198" spans="1:17" ht="15" customHeight="1">
      <c r="A198" s="78"/>
      <c r="B198" s="91"/>
      <c r="C198" s="34">
        <v>1106057</v>
      </c>
      <c r="D198" s="448" t="s">
        <v>841</v>
      </c>
      <c r="E198" s="449"/>
      <c r="F198" s="34" t="s">
        <v>800</v>
      </c>
      <c r="G198" s="92">
        <v>4.875</v>
      </c>
      <c r="H198" s="93">
        <v>401.91</v>
      </c>
      <c r="I198" s="100">
        <f t="shared" ref="I198" si="83">G198*H198</f>
        <v>1959.3112500000002</v>
      </c>
      <c r="J198" s="94">
        <v>0.24229999999999999</v>
      </c>
      <c r="K198" s="100">
        <f t="shared" ref="K198" si="84">I198*J198</f>
        <v>474.74111587500005</v>
      </c>
      <c r="L198" s="95">
        <f t="shared" si="82"/>
        <v>2434.0500000000002</v>
      </c>
      <c r="M198" s="79"/>
      <c r="N198" s="78"/>
      <c r="O198" s="78"/>
      <c r="P198" s="78"/>
      <c r="Q198" s="78"/>
    </row>
    <row r="199" spans="1:17" ht="15" customHeight="1">
      <c r="A199" s="78"/>
      <c r="B199" s="91"/>
      <c r="C199" s="34">
        <v>3103302</v>
      </c>
      <c r="D199" s="448" t="s">
        <v>848</v>
      </c>
      <c r="E199" s="449"/>
      <c r="F199" s="34" t="s">
        <v>799</v>
      </c>
      <c r="G199" s="92">
        <v>77.5</v>
      </c>
      <c r="H199" s="93">
        <v>70.14</v>
      </c>
      <c r="I199" s="100">
        <f t="shared" si="80"/>
        <v>5435.85</v>
      </c>
      <c r="J199" s="94">
        <v>0.24229999999999999</v>
      </c>
      <c r="K199" s="100">
        <f t="shared" si="81"/>
        <v>1317.1064550000001</v>
      </c>
      <c r="L199" s="95">
        <f t="shared" si="82"/>
        <v>6752.96</v>
      </c>
      <c r="M199" s="79"/>
      <c r="N199" s="78"/>
      <c r="O199" s="78"/>
      <c r="P199" s="78"/>
      <c r="Q199" s="78"/>
    </row>
    <row r="200" spans="1:17" ht="15" customHeight="1">
      <c r="A200" s="78"/>
      <c r="B200" s="447"/>
      <c r="C200" s="364"/>
      <c r="D200" s="364"/>
      <c r="E200" s="364"/>
      <c r="F200" s="364"/>
      <c r="G200" s="364"/>
      <c r="H200" s="364"/>
      <c r="I200" s="364"/>
      <c r="J200" s="365"/>
      <c r="K200" s="96" t="s">
        <v>526</v>
      </c>
      <c r="L200" s="88">
        <f>SUM(L194:L199)</f>
        <v>34688.949999999997</v>
      </c>
      <c r="M200" s="79"/>
      <c r="N200" s="78"/>
      <c r="O200" s="78"/>
      <c r="P200" s="78"/>
      <c r="Q200" s="78"/>
    </row>
    <row r="201" spans="1:17" ht="15" customHeight="1">
      <c r="A201" s="78"/>
      <c r="B201" s="89" t="s">
        <v>1172</v>
      </c>
      <c r="C201" s="231" t="s">
        <v>846</v>
      </c>
      <c r="D201" s="450" t="s">
        <v>847</v>
      </c>
      <c r="E201" s="364"/>
      <c r="F201" s="364"/>
      <c r="G201" s="364"/>
      <c r="H201" s="364"/>
      <c r="I201" s="364"/>
      <c r="J201" s="364"/>
      <c r="K201" s="364"/>
      <c r="L201" s="428"/>
      <c r="M201" s="79"/>
      <c r="N201" s="78"/>
      <c r="O201" s="78"/>
      <c r="P201" s="78"/>
      <c r="Q201" s="78"/>
    </row>
    <row r="202" spans="1:17" ht="15" customHeight="1">
      <c r="A202" s="78"/>
      <c r="B202" s="91"/>
      <c r="C202" s="34">
        <v>1100657</v>
      </c>
      <c r="D202" s="448" t="s">
        <v>837</v>
      </c>
      <c r="E202" s="449"/>
      <c r="F202" s="34" t="s">
        <v>800</v>
      </c>
      <c r="G202" s="92">
        <v>10.43</v>
      </c>
      <c r="H202" s="93">
        <v>2.92</v>
      </c>
      <c r="I202" s="100">
        <f t="shared" ref="I202:I207" si="85">G202*H202</f>
        <v>30.455599999999997</v>
      </c>
      <c r="J202" s="94">
        <v>0.24229999999999999</v>
      </c>
      <c r="K202" s="100">
        <f t="shared" ref="K202:K207" si="86">I202*J202</f>
        <v>7.3793918799999991</v>
      </c>
      <c r="L202" s="95">
        <f t="shared" ref="L202:L207" si="87">ROUND(I202+K202,2)</f>
        <v>37.83</v>
      </c>
      <c r="M202" s="79"/>
      <c r="N202" s="78"/>
      <c r="O202" s="78"/>
      <c r="P202" s="78"/>
      <c r="Q202" s="78"/>
    </row>
    <row r="203" spans="1:17" ht="15" customHeight="1">
      <c r="A203" s="78"/>
      <c r="B203" s="91"/>
      <c r="C203" s="34">
        <v>1109669</v>
      </c>
      <c r="D203" s="448" t="s">
        <v>838</v>
      </c>
      <c r="E203" s="449"/>
      <c r="F203" s="34" t="s">
        <v>800</v>
      </c>
      <c r="G203" s="92">
        <v>0.69</v>
      </c>
      <c r="H203" s="93">
        <v>436.84</v>
      </c>
      <c r="I203" s="100">
        <f t="shared" si="85"/>
        <v>301.41959999999995</v>
      </c>
      <c r="J203" s="94">
        <v>0.24229999999999999</v>
      </c>
      <c r="K203" s="100">
        <f t="shared" si="86"/>
        <v>73.033969079999977</v>
      </c>
      <c r="L203" s="95">
        <f t="shared" si="87"/>
        <v>374.45</v>
      </c>
      <c r="M203" s="79"/>
      <c r="N203" s="78"/>
      <c r="O203" s="78"/>
      <c r="P203" s="78"/>
      <c r="Q203" s="78"/>
    </row>
    <row r="204" spans="1:17" ht="15" customHeight="1">
      <c r="A204" s="78"/>
      <c r="B204" s="91"/>
      <c r="C204" s="34">
        <v>407819</v>
      </c>
      <c r="D204" s="448" t="s">
        <v>839</v>
      </c>
      <c r="E204" s="449"/>
      <c r="F204" s="34" t="s">
        <v>849</v>
      </c>
      <c r="G204" s="92">
        <v>777</v>
      </c>
      <c r="H204" s="93">
        <v>12.58</v>
      </c>
      <c r="I204" s="100">
        <f t="shared" si="85"/>
        <v>9774.66</v>
      </c>
      <c r="J204" s="94">
        <v>0.24229999999999999</v>
      </c>
      <c r="K204" s="100">
        <f t="shared" si="86"/>
        <v>2368.400118</v>
      </c>
      <c r="L204" s="95">
        <f t="shared" si="87"/>
        <v>12143.06</v>
      </c>
      <c r="M204" s="79"/>
      <c r="N204" s="78"/>
      <c r="O204" s="78"/>
      <c r="P204" s="78"/>
      <c r="Q204" s="78"/>
    </row>
    <row r="205" spans="1:17" ht="15" customHeight="1">
      <c r="A205" s="78"/>
      <c r="B205" s="91"/>
      <c r="C205" s="34">
        <v>1107892</v>
      </c>
      <c r="D205" s="448" t="s">
        <v>840</v>
      </c>
      <c r="E205" s="449"/>
      <c r="F205" s="34" t="s">
        <v>800</v>
      </c>
      <c r="G205" s="92">
        <v>10.43</v>
      </c>
      <c r="H205" s="93">
        <v>414.41</v>
      </c>
      <c r="I205" s="100">
        <f t="shared" si="85"/>
        <v>4322.2963</v>
      </c>
      <c r="J205" s="94">
        <v>0.24229999999999999</v>
      </c>
      <c r="K205" s="100">
        <f t="shared" si="86"/>
        <v>1047.29239349</v>
      </c>
      <c r="L205" s="95">
        <f t="shared" si="87"/>
        <v>5369.59</v>
      </c>
      <c r="M205" s="79"/>
      <c r="N205" s="78"/>
      <c r="O205" s="78"/>
      <c r="P205" s="78"/>
      <c r="Q205" s="78"/>
    </row>
    <row r="206" spans="1:17" ht="15" customHeight="1">
      <c r="A206" s="78"/>
      <c r="B206" s="91"/>
      <c r="C206" s="34">
        <v>1106057</v>
      </c>
      <c r="D206" s="448" t="s">
        <v>841</v>
      </c>
      <c r="E206" s="449"/>
      <c r="F206" s="34" t="s">
        <v>800</v>
      </c>
      <c r="G206" s="92">
        <v>3.2250000000000001</v>
      </c>
      <c r="H206" s="93">
        <v>401.91</v>
      </c>
      <c r="I206" s="100">
        <f t="shared" si="85"/>
        <v>1296.15975</v>
      </c>
      <c r="J206" s="94">
        <v>0.24229999999999999</v>
      </c>
      <c r="K206" s="100">
        <f t="shared" si="86"/>
        <v>314.05950742499999</v>
      </c>
      <c r="L206" s="95">
        <f t="shared" si="87"/>
        <v>1610.22</v>
      </c>
      <c r="M206" s="79"/>
      <c r="N206" s="78"/>
      <c r="O206" s="78"/>
      <c r="P206" s="78"/>
      <c r="Q206" s="78"/>
    </row>
    <row r="207" spans="1:17" ht="15" customHeight="1">
      <c r="A207" s="78"/>
      <c r="B207" s="91"/>
      <c r="C207" s="34">
        <v>3103302</v>
      </c>
      <c r="D207" s="448" t="s">
        <v>848</v>
      </c>
      <c r="E207" s="449"/>
      <c r="F207" s="34" t="s">
        <v>799</v>
      </c>
      <c r="G207" s="92">
        <v>60.4</v>
      </c>
      <c r="H207" s="93">
        <v>70.14</v>
      </c>
      <c r="I207" s="100">
        <f t="shared" si="85"/>
        <v>4236.4560000000001</v>
      </c>
      <c r="J207" s="94">
        <v>0.24229999999999999</v>
      </c>
      <c r="K207" s="100">
        <f t="shared" si="86"/>
        <v>1026.4932888000001</v>
      </c>
      <c r="L207" s="95">
        <f t="shared" si="87"/>
        <v>5262.95</v>
      </c>
      <c r="M207" s="79"/>
      <c r="N207" s="78"/>
      <c r="O207" s="78"/>
      <c r="P207" s="78"/>
      <c r="Q207" s="78"/>
    </row>
    <row r="208" spans="1:17" ht="15" customHeight="1">
      <c r="A208" s="78"/>
      <c r="B208" s="447"/>
      <c r="C208" s="364"/>
      <c r="D208" s="364"/>
      <c r="E208" s="364"/>
      <c r="F208" s="364"/>
      <c r="G208" s="364"/>
      <c r="H208" s="364"/>
      <c r="I208" s="364"/>
      <c r="J208" s="365"/>
      <c r="K208" s="96" t="s">
        <v>526</v>
      </c>
      <c r="L208" s="88">
        <f>SUM(L202:L207)</f>
        <v>24798.100000000002</v>
      </c>
      <c r="M208" s="79"/>
      <c r="N208" s="78"/>
      <c r="O208" s="78"/>
      <c r="P208" s="78"/>
      <c r="Q208" s="78"/>
    </row>
    <row r="209" spans="1:17" ht="15" customHeight="1">
      <c r="A209" s="78"/>
      <c r="B209" s="89" t="s">
        <v>1173</v>
      </c>
      <c r="C209" s="231" t="s">
        <v>1203</v>
      </c>
      <c r="D209" s="450" t="s">
        <v>1202</v>
      </c>
      <c r="E209" s="364"/>
      <c r="F209" s="364"/>
      <c r="G209" s="364"/>
      <c r="H209" s="364"/>
      <c r="I209" s="364"/>
      <c r="J209" s="364"/>
      <c r="K209" s="364"/>
      <c r="L209" s="428"/>
      <c r="M209" s="79"/>
      <c r="N209" s="78"/>
      <c r="O209" s="78"/>
      <c r="P209" s="78"/>
      <c r="Q209" s="78"/>
    </row>
    <row r="210" spans="1:17" ht="15" customHeight="1">
      <c r="A210" s="78"/>
      <c r="B210" s="91"/>
      <c r="C210" s="34">
        <v>1100657</v>
      </c>
      <c r="D210" s="448" t="s">
        <v>837</v>
      </c>
      <c r="E210" s="449"/>
      <c r="F210" s="34" t="s">
        <v>800</v>
      </c>
      <c r="G210" s="92">
        <v>6.1749999999999998</v>
      </c>
      <c r="H210" s="93">
        <v>2.92</v>
      </c>
      <c r="I210" s="100">
        <f t="shared" ref="I210:I215" si="88">G210*H210</f>
        <v>18.030999999999999</v>
      </c>
      <c r="J210" s="94">
        <v>0.24229999999999999</v>
      </c>
      <c r="K210" s="100">
        <f t="shared" ref="K210:K215" si="89">I210*J210</f>
        <v>4.3689112999999997</v>
      </c>
      <c r="L210" s="95">
        <f t="shared" ref="L210:L215" si="90">ROUND(I210+K210,2)</f>
        <v>22.4</v>
      </c>
      <c r="M210" s="79"/>
      <c r="N210" s="78"/>
      <c r="O210" s="78"/>
      <c r="P210" s="78"/>
      <c r="Q210" s="78"/>
    </row>
    <row r="211" spans="1:17" ht="15" customHeight="1">
      <c r="A211" s="78"/>
      <c r="B211" s="91"/>
      <c r="C211" s="34">
        <v>1109669</v>
      </c>
      <c r="D211" s="448" t="s">
        <v>838</v>
      </c>
      <c r="E211" s="449"/>
      <c r="F211" s="34" t="s">
        <v>800</v>
      </c>
      <c r="G211" s="92">
        <v>0.39500000000000002</v>
      </c>
      <c r="H211" s="93">
        <v>436.84</v>
      </c>
      <c r="I211" s="100">
        <f t="shared" si="88"/>
        <v>172.55179999999999</v>
      </c>
      <c r="J211" s="94">
        <v>0.24229999999999999</v>
      </c>
      <c r="K211" s="100">
        <f t="shared" si="89"/>
        <v>41.809301139999995</v>
      </c>
      <c r="L211" s="95">
        <f t="shared" si="90"/>
        <v>214.36</v>
      </c>
      <c r="M211" s="79"/>
      <c r="N211" s="78"/>
      <c r="O211" s="78"/>
      <c r="P211" s="78"/>
      <c r="Q211" s="78"/>
    </row>
    <row r="212" spans="1:17" ht="15" customHeight="1">
      <c r="A212" s="78"/>
      <c r="B212" s="91"/>
      <c r="C212" s="34">
        <v>407819</v>
      </c>
      <c r="D212" s="448" t="s">
        <v>839</v>
      </c>
      <c r="E212" s="449"/>
      <c r="F212" s="34" t="s">
        <v>849</v>
      </c>
      <c r="G212" s="92">
        <v>486</v>
      </c>
      <c r="H212" s="93">
        <v>12.58</v>
      </c>
      <c r="I212" s="100">
        <f t="shared" si="88"/>
        <v>6113.88</v>
      </c>
      <c r="J212" s="94">
        <v>0.24229999999999999</v>
      </c>
      <c r="K212" s="100">
        <f t="shared" si="89"/>
        <v>1481.3931239999999</v>
      </c>
      <c r="L212" s="95">
        <f t="shared" si="90"/>
        <v>7595.27</v>
      </c>
      <c r="M212" s="79"/>
      <c r="N212" s="78"/>
      <c r="O212" s="78"/>
      <c r="P212" s="78"/>
      <c r="Q212" s="78"/>
    </row>
    <row r="213" spans="1:17" ht="15" customHeight="1">
      <c r="A213" s="78"/>
      <c r="B213" s="91"/>
      <c r="C213" s="34">
        <v>1107892</v>
      </c>
      <c r="D213" s="448" t="s">
        <v>840</v>
      </c>
      <c r="E213" s="449"/>
      <c r="F213" s="34" t="s">
        <v>800</v>
      </c>
      <c r="G213" s="92">
        <v>6.1749999999999998</v>
      </c>
      <c r="H213" s="93">
        <v>414.41</v>
      </c>
      <c r="I213" s="100">
        <f t="shared" si="88"/>
        <v>2558.9817499999999</v>
      </c>
      <c r="J213" s="94">
        <v>0.24229999999999999</v>
      </c>
      <c r="K213" s="100">
        <f t="shared" si="89"/>
        <v>620.041278025</v>
      </c>
      <c r="L213" s="95">
        <f t="shared" si="90"/>
        <v>3179.02</v>
      </c>
      <c r="M213" s="79"/>
      <c r="N213" s="78"/>
      <c r="O213" s="78"/>
      <c r="P213" s="78"/>
      <c r="Q213" s="78"/>
    </row>
    <row r="214" spans="1:17" ht="15" customHeight="1">
      <c r="A214" s="78"/>
      <c r="B214" s="91"/>
      <c r="C214" s="34">
        <v>1106057</v>
      </c>
      <c r="D214" s="448" t="s">
        <v>841</v>
      </c>
      <c r="E214" s="449"/>
      <c r="F214" s="34" t="s">
        <v>800</v>
      </c>
      <c r="G214" s="92">
        <v>1.9650000000000001</v>
      </c>
      <c r="H214" s="93">
        <v>401.91</v>
      </c>
      <c r="I214" s="100">
        <f t="shared" si="88"/>
        <v>789.75315000000012</v>
      </c>
      <c r="J214" s="94">
        <v>0.24229999999999999</v>
      </c>
      <c r="K214" s="100">
        <f t="shared" si="89"/>
        <v>191.35718824500003</v>
      </c>
      <c r="L214" s="95">
        <f t="shared" si="90"/>
        <v>981.11</v>
      </c>
      <c r="M214" s="79"/>
      <c r="N214" s="78"/>
      <c r="O214" s="78"/>
      <c r="P214" s="78"/>
      <c r="Q214" s="78"/>
    </row>
    <row r="215" spans="1:17" ht="15" customHeight="1">
      <c r="A215" s="78"/>
      <c r="B215" s="91"/>
      <c r="C215" s="34">
        <v>3103302</v>
      </c>
      <c r="D215" s="448" t="s">
        <v>848</v>
      </c>
      <c r="E215" s="449"/>
      <c r="F215" s="34" t="s">
        <v>799</v>
      </c>
      <c r="G215" s="92">
        <v>46</v>
      </c>
      <c r="H215" s="93">
        <v>70.14</v>
      </c>
      <c r="I215" s="100">
        <f t="shared" si="88"/>
        <v>3226.44</v>
      </c>
      <c r="J215" s="94">
        <v>0.24229999999999999</v>
      </c>
      <c r="K215" s="100">
        <f t="shared" si="89"/>
        <v>781.76641199999995</v>
      </c>
      <c r="L215" s="95">
        <f t="shared" si="90"/>
        <v>4008.21</v>
      </c>
      <c r="M215" s="79"/>
      <c r="N215" s="78"/>
      <c r="O215" s="78"/>
      <c r="P215" s="78"/>
      <c r="Q215" s="78"/>
    </row>
    <row r="216" spans="1:17" ht="15" customHeight="1">
      <c r="A216" s="78"/>
      <c r="B216" s="447"/>
      <c r="C216" s="364"/>
      <c r="D216" s="364"/>
      <c r="E216" s="364"/>
      <c r="F216" s="364"/>
      <c r="G216" s="364"/>
      <c r="H216" s="364"/>
      <c r="I216" s="364"/>
      <c r="J216" s="365"/>
      <c r="K216" s="96" t="s">
        <v>526</v>
      </c>
      <c r="L216" s="88">
        <f>SUM(L210:L215)</f>
        <v>16000.370000000003</v>
      </c>
      <c r="M216" s="79"/>
      <c r="N216" s="78"/>
      <c r="O216" s="78"/>
      <c r="P216" s="78"/>
      <c r="Q216" s="78"/>
    </row>
    <row r="217" spans="1:17" ht="15" customHeight="1">
      <c r="A217" s="78"/>
      <c r="B217" s="89" t="s">
        <v>1174</v>
      </c>
      <c r="C217" s="231" t="s">
        <v>1204</v>
      </c>
      <c r="D217" s="450" t="s">
        <v>1205</v>
      </c>
      <c r="E217" s="364"/>
      <c r="F217" s="364"/>
      <c r="G217" s="364"/>
      <c r="H217" s="364"/>
      <c r="I217" s="364"/>
      <c r="J217" s="364"/>
      <c r="K217" s="364"/>
      <c r="L217" s="428"/>
      <c r="M217" s="79"/>
      <c r="N217" s="78"/>
      <c r="O217" s="78"/>
      <c r="P217" s="78"/>
      <c r="Q217" s="78"/>
    </row>
    <row r="218" spans="1:17" ht="15" customHeight="1">
      <c r="A218" s="78"/>
      <c r="B218" s="91"/>
      <c r="C218" s="34" t="s">
        <v>1206</v>
      </c>
      <c r="D218" s="448" t="s">
        <v>1207</v>
      </c>
      <c r="E218" s="449"/>
      <c r="F218" s="34" t="s">
        <v>800</v>
      </c>
      <c r="G218" s="92">
        <v>8.8260000000000005</v>
      </c>
      <c r="H218" s="93">
        <v>366.08269645258878</v>
      </c>
      <c r="I218" s="100">
        <f t="shared" ref="I218:I219" si="91">G218*H218</f>
        <v>3231.0458788905489</v>
      </c>
      <c r="J218" s="94">
        <v>0.24229999999999999</v>
      </c>
      <c r="K218" s="100">
        <f t="shared" ref="K218:K219" si="92">I218*J218</f>
        <v>782.88241645517996</v>
      </c>
      <c r="L218" s="95">
        <f t="shared" ref="L218:L219" si="93">ROUND(I218+K218,2)</f>
        <v>4013.93</v>
      </c>
      <c r="M218" s="79"/>
      <c r="N218" s="78"/>
      <c r="O218" s="78"/>
      <c r="P218" s="78"/>
      <c r="Q218" s="78"/>
    </row>
    <row r="219" spans="1:17" ht="15" customHeight="1">
      <c r="A219" s="78"/>
      <c r="B219" s="91"/>
      <c r="C219" s="34" t="s">
        <v>1208</v>
      </c>
      <c r="D219" s="448" t="s">
        <v>1209</v>
      </c>
      <c r="E219" s="449"/>
      <c r="F219" s="34" t="s">
        <v>799</v>
      </c>
      <c r="G219" s="92">
        <v>16.260000000000002</v>
      </c>
      <c r="H219" s="93">
        <v>58.561099999999996</v>
      </c>
      <c r="I219" s="100">
        <f t="shared" si="91"/>
        <v>952.203486</v>
      </c>
      <c r="J219" s="94">
        <v>0.24229999999999999</v>
      </c>
      <c r="K219" s="100">
        <f t="shared" si="92"/>
        <v>230.71890465779998</v>
      </c>
      <c r="L219" s="95">
        <f t="shared" si="93"/>
        <v>1182.92</v>
      </c>
      <c r="M219" s="79"/>
      <c r="N219" s="78"/>
      <c r="O219" s="78"/>
      <c r="P219" s="78"/>
      <c r="Q219" s="78"/>
    </row>
    <row r="220" spans="1:17" ht="15" customHeight="1">
      <c r="A220" s="78"/>
      <c r="B220" s="447"/>
      <c r="C220" s="364"/>
      <c r="D220" s="364"/>
      <c r="E220" s="364"/>
      <c r="F220" s="364"/>
      <c r="G220" s="364"/>
      <c r="H220" s="364"/>
      <c r="I220" s="364"/>
      <c r="J220" s="365"/>
      <c r="K220" s="96" t="s">
        <v>526</v>
      </c>
      <c r="L220" s="88">
        <f>SUM(L218:L219)</f>
        <v>5196.8500000000004</v>
      </c>
      <c r="M220" s="79"/>
      <c r="N220" s="78"/>
      <c r="O220" s="78"/>
      <c r="P220" s="78"/>
      <c r="Q220" s="78"/>
    </row>
    <row r="221" spans="1:17" ht="15" customHeight="1">
      <c r="A221" s="78"/>
      <c r="B221" s="89" t="s">
        <v>1175</v>
      </c>
      <c r="C221" s="231"/>
      <c r="D221" s="450"/>
      <c r="E221" s="364"/>
      <c r="F221" s="364"/>
      <c r="G221" s="364"/>
      <c r="H221" s="364"/>
      <c r="I221" s="364"/>
      <c r="J221" s="364"/>
      <c r="K221" s="364"/>
      <c r="L221" s="428"/>
      <c r="M221" s="79"/>
      <c r="N221" s="78"/>
      <c r="O221" s="78"/>
      <c r="P221" s="78"/>
      <c r="Q221" s="78"/>
    </row>
    <row r="222" spans="1:17" ht="15" customHeight="1">
      <c r="A222" s="78"/>
      <c r="B222" s="91"/>
      <c r="C222" s="34" t="s">
        <v>1206</v>
      </c>
      <c r="D222" s="448" t="s">
        <v>1207</v>
      </c>
      <c r="E222" s="449"/>
      <c r="F222" s="34" t="s">
        <v>800</v>
      </c>
      <c r="G222" s="92">
        <v>6.5830000000000002</v>
      </c>
      <c r="H222" s="93">
        <v>366.08269645258878</v>
      </c>
      <c r="I222" s="100">
        <f t="shared" ref="I222:I223" si="94">G222*H222</f>
        <v>2409.922390747392</v>
      </c>
      <c r="J222" s="94">
        <v>0.24229999999999999</v>
      </c>
      <c r="K222" s="100">
        <f t="shared" ref="K222:K223" si="95">I222*J222</f>
        <v>583.92419527809307</v>
      </c>
      <c r="L222" s="95">
        <f t="shared" ref="L222:L223" si="96">ROUND(I222+K222,2)</f>
        <v>2993.85</v>
      </c>
      <c r="M222" s="79"/>
      <c r="N222" s="78"/>
      <c r="O222" s="78"/>
      <c r="P222" s="78"/>
      <c r="Q222" s="78"/>
    </row>
    <row r="223" spans="1:17" ht="15" customHeight="1">
      <c r="A223" s="78"/>
      <c r="B223" s="91"/>
      <c r="C223" s="34" t="s">
        <v>1208</v>
      </c>
      <c r="D223" s="448" t="s">
        <v>1209</v>
      </c>
      <c r="E223" s="449"/>
      <c r="F223" s="34" t="s">
        <v>799</v>
      </c>
      <c r="G223" s="92">
        <v>13.79</v>
      </c>
      <c r="H223" s="93">
        <v>58.561099999999996</v>
      </c>
      <c r="I223" s="100">
        <f t="shared" si="94"/>
        <v>807.55756899999994</v>
      </c>
      <c r="J223" s="94">
        <v>0.24229999999999999</v>
      </c>
      <c r="K223" s="100">
        <f t="shared" si="95"/>
        <v>195.67119896869997</v>
      </c>
      <c r="L223" s="95">
        <f t="shared" si="96"/>
        <v>1003.23</v>
      </c>
      <c r="M223" s="79"/>
      <c r="N223" s="78"/>
      <c r="O223" s="78"/>
      <c r="P223" s="78"/>
      <c r="Q223" s="78"/>
    </row>
    <row r="224" spans="1:17" ht="15" customHeight="1">
      <c r="A224" s="78"/>
      <c r="B224" s="447"/>
      <c r="C224" s="364"/>
      <c r="D224" s="364"/>
      <c r="E224" s="364"/>
      <c r="F224" s="364"/>
      <c r="G224" s="364"/>
      <c r="H224" s="364"/>
      <c r="I224" s="364"/>
      <c r="J224" s="365"/>
      <c r="K224" s="96" t="s">
        <v>526</v>
      </c>
      <c r="L224" s="88">
        <f>SUM(L222:L223)</f>
        <v>3997.08</v>
      </c>
      <c r="M224" s="79"/>
      <c r="N224" s="78"/>
      <c r="O224" s="78"/>
      <c r="P224" s="78"/>
      <c r="Q224" s="78"/>
    </row>
    <row r="225" spans="1:17" ht="15" customHeight="1">
      <c r="A225" s="78" t="s">
        <v>830</v>
      </c>
      <c r="B225" s="89" t="s">
        <v>1176</v>
      </c>
      <c r="C225" s="231" t="s">
        <v>831</v>
      </c>
      <c r="D225" s="450" t="s">
        <v>832</v>
      </c>
      <c r="E225" s="364"/>
      <c r="F225" s="364"/>
      <c r="G225" s="364"/>
      <c r="H225" s="364"/>
      <c r="I225" s="364"/>
      <c r="J225" s="364"/>
      <c r="K225" s="364"/>
      <c r="L225" s="428"/>
      <c r="M225" s="79"/>
      <c r="N225" s="78"/>
      <c r="O225" s="78"/>
      <c r="P225" s="78"/>
      <c r="Q225" s="78"/>
    </row>
    <row r="226" spans="1:17" ht="15" customHeight="1">
      <c r="A226" s="78"/>
      <c r="B226" s="91"/>
      <c r="C226" s="34" t="s">
        <v>833</v>
      </c>
      <c r="D226" s="448" t="s">
        <v>834</v>
      </c>
      <c r="E226" s="449"/>
      <c r="F226" s="34" t="s">
        <v>487</v>
      </c>
      <c r="G226" s="92">
        <v>9.3789999999999998E-2</v>
      </c>
      <c r="H226" s="93">
        <v>30.002199999999998</v>
      </c>
      <c r="I226" s="100">
        <f t="shared" ref="I226:I228" si="97">G226*H226</f>
        <v>2.8139063379999998</v>
      </c>
      <c r="J226" s="94">
        <v>0.24229999999999999</v>
      </c>
      <c r="K226" s="100">
        <f t="shared" ref="K226:K228" si="98">I226*J226</f>
        <v>0.68180950569739995</v>
      </c>
      <c r="L226" s="95">
        <f t="shared" ref="L226:L236" si="99">ROUND(I226+K226,2)</f>
        <v>3.5</v>
      </c>
      <c r="M226" s="79"/>
      <c r="N226" s="78"/>
      <c r="O226" s="78"/>
      <c r="P226" s="78"/>
      <c r="Q226" s="78"/>
    </row>
    <row r="227" spans="1:17" ht="15" customHeight="1">
      <c r="A227" s="78"/>
      <c r="B227" s="91"/>
      <c r="C227" s="34" t="s">
        <v>835</v>
      </c>
      <c r="D227" s="448" t="s">
        <v>836</v>
      </c>
      <c r="E227" s="449"/>
      <c r="F227" s="34" t="s">
        <v>487</v>
      </c>
      <c r="G227" s="92">
        <v>9.3999999999999997E-4</v>
      </c>
      <c r="H227" s="93">
        <v>314.45609999999999</v>
      </c>
      <c r="I227" s="100">
        <f t="shared" si="97"/>
        <v>0.29558873399999996</v>
      </c>
      <c r="J227" s="94">
        <v>0.24229999999999999</v>
      </c>
      <c r="K227" s="100">
        <f t="shared" si="98"/>
        <v>7.1621150248199983E-2</v>
      </c>
      <c r="L227" s="95">
        <f t="shared" si="99"/>
        <v>0.37</v>
      </c>
      <c r="M227" s="79"/>
      <c r="N227" s="78"/>
      <c r="O227" s="78"/>
      <c r="P227" s="78"/>
      <c r="Q227" s="78"/>
    </row>
    <row r="228" spans="1:17" ht="15" customHeight="1">
      <c r="A228" s="78"/>
      <c r="B228" s="91"/>
      <c r="C228" s="34">
        <v>1100657</v>
      </c>
      <c r="D228" s="448" t="s">
        <v>837</v>
      </c>
      <c r="E228" s="449"/>
      <c r="F228" s="34" t="s">
        <v>501</v>
      </c>
      <c r="G228" s="92">
        <v>2.3199999999999998</v>
      </c>
      <c r="H228" s="93">
        <v>2.92</v>
      </c>
      <c r="I228" s="100">
        <f t="shared" si="97"/>
        <v>6.7743999999999991</v>
      </c>
      <c r="J228" s="94">
        <v>0.24229999999999999</v>
      </c>
      <c r="K228" s="100">
        <f t="shared" si="98"/>
        <v>1.6414371199999997</v>
      </c>
      <c r="L228" s="95">
        <f t="shared" si="99"/>
        <v>8.42</v>
      </c>
      <c r="M228" s="79"/>
      <c r="N228" s="78"/>
      <c r="O228" s="78"/>
      <c r="P228" s="78"/>
      <c r="Q228" s="78"/>
    </row>
    <row r="229" spans="1:17" ht="15" customHeight="1">
      <c r="A229" s="78"/>
      <c r="B229" s="91"/>
      <c r="C229" s="34">
        <v>1109669</v>
      </c>
      <c r="D229" s="448" t="s">
        <v>838</v>
      </c>
      <c r="E229" s="449"/>
      <c r="F229" s="34" t="s">
        <v>501</v>
      </c>
      <c r="G229" s="92">
        <v>0.2</v>
      </c>
      <c r="H229" s="93">
        <v>436.84</v>
      </c>
      <c r="I229" s="100">
        <f t="shared" ref="I229:I236" si="100">G229*H229</f>
        <v>87.367999999999995</v>
      </c>
      <c r="J229" s="94">
        <v>0.24229999999999999</v>
      </c>
      <c r="K229" s="100">
        <f t="shared" ref="K229:K236" si="101">I229*J229</f>
        <v>21.169266399999998</v>
      </c>
      <c r="L229" s="95">
        <f t="shared" si="99"/>
        <v>108.54</v>
      </c>
      <c r="M229" s="79"/>
      <c r="N229" s="78"/>
      <c r="O229" s="78"/>
      <c r="P229" s="78"/>
      <c r="Q229" s="78"/>
    </row>
    <row r="230" spans="1:17" ht="15" customHeight="1">
      <c r="A230" s="78"/>
      <c r="B230" s="91"/>
      <c r="C230" s="34">
        <v>407819</v>
      </c>
      <c r="D230" s="448" t="s">
        <v>839</v>
      </c>
      <c r="E230" s="449"/>
      <c r="F230" s="34" t="s">
        <v>500</v>
      </c>
      <c r="G230" s="92">
        <v>204.398</v>
      </c>
      <c r="H230" s="93">
        <v>12.58</v>
      </c>
      <c r="I230" s="100">
        <f t="shared" si="100"/>
        <v>2571.3268400000002</v>
      </c>
      <c r="J230" s="94">
        <v>0.24229999999999999</v>
      </c>
      <c r="K230" s="100">
        <f t="shared" si="101"/>
        <v>623.03249333200006</v>
      </c>
      <c r="L230" s="95">
        <f t="shared" si="99"/>
        <v>3194.36</v>
      </c>
      <c r="M230" s="79"/>
      <c r="N230" s="78"/>
      <c r="O230" s="78"/>
      <c r="P230" s="78"/>
      <c r="Q230" s="78"/>
    </row>
    <row r="231" spans="1:17" ht="15" customHeight="1">
      <c r="A231" s="78"/>
      <c r="B231" s="91"/>
      <c r="C231" s="34">
        <v>1107892</v>
      </c>
      <c r="D231" s="448" t="s">
        <v>840</v>
      </c>
      <c r="E231" s="449"/>
      <c r="F231" s="34" t="s">
        <v>501</v>
      </c>
      <c r="G231" s="92">
        <v>2.3199999999999998</v>
      </c>
      <c r="H231" s="93">
        <v>414.41</v>
      </c>
      <c r="I231" s="100">
        <f t="shared" si="100"/>
        <v>961.43119999999999</v>
      </c>
      <c r="J231" s="94">
        <v>0.24229999999999999</v>
      </c>
      <c r="K231" s="100">
        <f t="shared" si="101"/>
        <v>232.95477975999998</v>
      </c>
      <c r="L231" s="95">
        <f t="shared" si="99"/>
        <v>1194.3900000000001</v>
      </c>
      <c r="M231" s="79"/>
      <c r="N231" s="78"/>
      <c r="O231" s="78"/>
      <c r="P231" s="78"/>
      <c r="Q231" s="78"/>
    </row>
    <row r="232" spans="1:17" ht="15" customHeight="1">
      <c r="A232" s="78"/>
      <c r="B232" s="91"/>
      <c r="C232" s="34">
        <v>1106057</v>
      </c>
      <c r="D232" s="448" t="s">
        <v>841</v>
      </c>
      <c r="E232" s="449"/>
      <c r="F232" s="34" t="s">
        <v>501</v>
      </c>
      <c r="G232" s="92">
        <v>0.48</v>
      </c>
      <c r="H232" s="93">
        <v>401.91</v>
      </c>
      <c r="I232" s="100">
        <f t="shared" si="100"/>
        <v>192.91679999999999</v>
      </c>
      <c r="J232" s="94">
        <v>0.24229999999999999</v>
      </c>
      <c r="K232" s="100">
        <f t="shared" si="101"/>
        <v>46.743740639999999</v>
      </c>
      <c r="L232" s="95">
        <f t="shared" si="99"/>
        <v>239.66</v>
      </c>
      <c r="M232" s="79"/>
      <c r="N232" s="78"/>
      <c r="O232" s="78"/>
      <c r="P232" s="78"/>
      <c r="Q232" s="78"/>
    </row>
    <row r="233" spans="1:17" ht="15" customHeight="1">
      <c r="A233" s="78"/>
      <c r="B233" s="91"/>
      <c r="C233" s="34">
        <v>2105605</v>
      </c>
      <c r="D233" s="448" t="s">
        <v>842</v>
      </c>
      <c r="E233" s="449"/>
      <c r="F233" s="34" t="s">
        <v>501</v>
      </c>
      <c r="G233" s="92">
        <v>8</v>
      </c>
      <c r="H233" s="93">
        <v>60.38</v>
      </c>
      <c r="I233" s="100">
        <f t="shared" si="100"/>
        <v>483.04</v>
      </c>
      <c r="J233" s="94">
        <v>0.24229999999999999</v>
      </c>
      <c r="K233" s="100">
        <f t="shared" si="101"/>
        <v>117.040592</v>
      </c>
      <c r="L233" s="95">
        <f t="shared" si="99"/>
        <v>600.08000000000004</v>
      </c>
      <c r="M233" s="79"/>
      <c r="N233" s="78"/>
      <c r="O233" s="78"/>
      <c r="P233" s="78"/>
      <c r="Q233" s="78"/>
    </row>
    <row r="234" spans="1:17" ht="15" customHeight="1">
      <c r="A234" s="78"/>
      <c r="B234" s="91"/>
      <c r="C234" s="34">
        <v>3108005</v>
      </c>
      <c r="D234" s="448" t="s">
        <v>843</v>
      </c>
      <c r="E234" s="449"/>
      <c r="F234" s="34" t="s">
        <v>487</v>
      </c>
      <c r="G234" s="92">
        <v>16.600000000000001</v>
      </c>
      <c r="H234" s="93">
        <v>78.11</v>
      </c>
      <c r="I234" s="100">
        <f t="shared" si="100"/>
        <v>1296.6260000000002</v>
      </c>
      <c r="J234" s="94">
        <v>0.24229999999999999</v>
      </c>
      <c r="K234" s="100">
        <f t="shared" si="101"/>
        <v>314.17247980000002</v>
      </c>
      <c r="L234" s="95">
        <f t="shared" si="99"/>
        <v>1610.8</v>
      </c>
      <c r="M234" s="79"/>
      <c r="N234" s="78"/>
      <c r="O234" s="78"/>
      <c r="P234" s="78"/>
      <c r="Q234" s="78"/>
    </row>
    <row r="235" spans="1:17" ht="15" customHeight="1">
      <c r="A235" s="78"/>
      <c r="B235" s="91"/>
      <c r="C235" s="34" t="s">
        <v>833</v>
      </c>
      <c r="D235" s="448" t="s">
        <v>844</v>
      </c>
      <c r="E235" s="449"/>
      <c r="F235" s="34" t="s">
        <v>659</v>
      </c>
      <c r="G235" s="92">
        <v>9.3999999999999997E-4</v>
      </c>
      <c r="H235" s="93">
        <v>31.5</v>
      </c>
      <c r="I235" s="100">
        <f t="shared" si="100"/>
        <v>2.9609999999999997E-2</v>
      </c>
      <c r="J235" s="94">
        <v>0.24229999999999999</v>
      </c>
      <c r="K235" s="100">
        <f t="shared" si="101"/>
        <v>7.1745029999999987E-3</v>
      </c>
      <c r="L235" s="95">
        <f t="shared" si="99"/>
        <v>0.04</v>
      </c>
      <c r="M235" s="79"/>
      <c r="N235" s="78"/>
      <c r="O235" s="78"/>
      <c r="P235" s="78"/>
      <c r="Q235" s="78"/>
    </row>
    <row r="236" spans="1:17" ht="15" customHeight="1">
      <c r="A236" s="78"/>
      <c r="B236" s="91"/>
      <c r="C236" s="34" t="s">
        <v>835</v>
      </c>
      <c r="D236" s="448" t="s">
        <v>845</v>
      </c>
      <c r="E236" s="449"/>
      <c r="F236" s="34" t="s">
        <v>659</v>
      </c>
      <c r="G236" s="92">
        <v>1.0000000000000001E-5</v>
      </c>
      <c r="H236" s="93">
        <v>31.5</v>
      </c>
      <c r="I236" s="100">
        <f t="shared" si="100"/>
        <v>3.1500000000000001E-4</v>
      </c>
      <c r="J236" s="94">
        <v>0.24229999999999999</v>
      </c>
      <c r="K236" s="100">
        <f t="shared" si="101"/>
        <v>7.6324500000000004E-5</v>
      </c>
      <c r="L236" s="95">
        <f t="shared" si="99"/>
        <v>0</v>
      </c>
      <c r="M236" s="79"/>
      <c r="N236" s="78"/>
      <c r="O236" s="78"/>
      <c r="P236" s="78"/>
      <c r="Q236" s="78"/>
    </row>
    <row r="237" spans="1:17" ht="15" customHeight="1">
      <c r="A237" s="78"/>
      <c r="B237" s="447"/>
      <c r="C237" s="364"/>
      <c r="D237" s="364"/>
      <c r="E237" s="364"/>
      <c r="F237" s="364"/>
      <c r="G237" s="364"/>
      <c r="H237" s="364"/>
      <c r="I237" s="364"/>
      <c r="J237" s="365"/>
      <c r="K237" s="96" t="s">
        <v>526</v>
      </c>
      <c r="L237" s="88">
        <f>SUM(L226:L236)</f>
        <v>6960.16</v>
      </c>
      <c r="M237" s="79"/>
      <c r="N237" s="78"/>
      <c r="O237" s="78"/>
      <c r="P237" s="78"/>
      <c r="Q237" s="78"/>
    </row>
    <row r="238" spans="1:17" ht="15" customHeight="1">
      <c r="A238" s="78"/>
      <c r="B238" s="89" t="s">
        <v>1177</v>
      </c>
      <c r="C238" s="231" t="s">
        <v>846</v>
      </c>
      <c r="D238" s="450" t="s">
        <v>847</v>
      </c>
      <c r="E238" s="364"/>
      <c r="F238" s="364"/>
      <c r="G238" s="364"/>
      <c r="H238" s="364"/>
      <c r="I238" s="364"/>
      <c r="J238" s="364"/>
      <c r="K238" s="364"/>
      <c r="L238" s="428"/>
      <c r="M238" s="79"/>
      <c r="N238" s="78"/>
      <c r="O238" s="78"/>
      <c r="P238" s="78"/>
      <c r="Q238" s="78"/>
    </row>
    <row r="239" spans="1:17" ht="15" customHeight="1">
      <c r="A239" s="78"/>
      <c r="B239" s="91"/>
      <c r="C239" s="34">
        <v>1100657</v>
      </c>
      <c r="D239" s="448" t="s">
        <v>837</v>
      </c>
      <c r="E239" s="449"/>
      <c r="F239" s="34" t="s">
        <v>800</v>
      </c>
      <c r="G239" s="92">
        <v>10.43</v>
      </c>
      <c r="H239" s="93">
        <v>2.92</v>
      </c>
      <c r="I239" s="100">
        <f t="shared" ref="I239:I244" si="102">G239*H239</f>
        <v>30.455599999999997</v>
      </c>
      <c r="J239" s="94">
        <v>0.24229999999999999</v>
      </c>
      <c r="K239" s="100">
        <f t="shared" ref="K239:K244" si="103">I239*J239</f>
        <v>7.3793918799999991</v>
      </c>
      <c r="L239" s="95">
        <f t="shared" ref="L239:L244" si="104">ROUND(I239+K239,2)</f>
        <v>37.83</v>
      </c>
      <c r="M239" s="79"/>
      <c r="N239" s="78"/>
      <c r="O239" s="78"/>
      <c r="P239" s="78"/>
      <c r="Q239" s="78"/>
    </row>
    <row r="240" spans="1:17" ht="15" customHeight="1">
      <c r="A240" s="78"/>
      <c r="B240" s="91"/>
      <c r="C240" s="34">
        <v>1109669</v>
      </c>
      <c r="D240" s="448" t="s">
        <v>838</v>
      </c>
      <c r="E240" s="449"/>
      <c r="F240" s="34" t="s">
        <v>800</v>
      </c>
      <c r="G240" s="92">
        <v>0.69</v>
      </c>
      <c r="H240" s="93">
        <v>436.84</v>
      </c>
      <c r="I240" s="100">
        <f t="shared" si="102"/>
        <v>301.41959999999995</v>
      </c>
      <c r="J240" s="94">
        <v>0.24229999999999999</v>
      </c>
      <c r="K240" s="100">
        <f t="shared" si="103"/>
        <v>73.033969079999977</v>
      </c>
      <c r="L240" s="95">
        <f t="shared" si="104"/>
        <v>374.45</v>
      </c>
      <c r="M240" s="79"/>
      <c r="N240" s="78"/>
      <c r="O240" s="78"/>
      <c r="P240" s="78"/>
      <c r="Q240" s="78"/>
    </row>
    <row r="241" spans="1:17" ht="15" customHeight="1">
      <c r="A241" s="78"/>
      <c r="B241" s="91"/>
      <c r="C241" s="34">
        <v>407819</v>
      </c>
      <c r="D241" s="448" t="s">
        <v>839</v>
      </c>
      <c r="E241" s="449"/>
      <c r="F241" s="34" t="s">
        <v>849</v>
      </c>
      <c r="G241" s="92">
        <v>777</v>
      </c>
      <c r="H241" s="93">
        <v>12.58</v>
      </c>
      <c r="I241" s="100">
        <f t="shared" si="102"/>
        <v>9774.66</v>
      </c>
      <c r="J241" s="94">
        <v>0.24229999999999999</v>
      </c>
      <c r="K241" s="100">
        <f t="shared" si="103"/>
        <v>2368.400118</v>
      </c>
      <c r="L241" s="95">
        <f t="shared" si="104"/>
        <v>12143.06</v>
      </c>
      <c r="M241" s="79"/>
      <c r="N241" s="78"/>
      <c r="O241" s="78"/>
      <c r="P241" s="78"/>
      <c r="Q241" s="78"/>
    </row>
    <row r="242" spans="1:17" ht="15" customHeight="1">
      <c r="A242" s="78"/>
      <c r="B242" s="91"/>
      <c r="C242" s="34">
        <v>1107892</v>
      </c>
      <c r="D242" s="448" t="s">
        <v>840</v>
      </c>
      <c r="E242" s="449"/>
      <c r="F242" s="34" t="s">
        <v>800</v>
      </c>
      <c r="G242" s="92">
        <v>10.43</v>
      </c>
      <c r="H242" s="93">
        <v>414.41</v>
      </c>
      <c r="I242" s="100">
        <f t="shared" si="102"/>
        <v>4322.2963</v>
      </c>
      <c r="J242" s="94">
        <v>0.24229999999999999</v>
      </c>
      <c r="K242" s="100">
        <f t="shared" si="103"/>
        <v>1047.29239349</v>
      </c>
      <c r="L242" s="95">
        <f t="shared" si="104"/>
        <v>5369.59</v>
      </c>
      <c r="M242" s="79"/>
      <c r="N242" s="78"/>
      <c r="O242" s="78"/>
      <c r="P242" s="78"/>
      <c r="Q242" s="78"/>
    </row>
    <row r="243" spans="1:17" ht="15" customHeight="1">
      <c r="A243" s="78"/>
      <c r="B243" s="91"/>
      <c r="C243" s="34">
        <v>1106057</v>
      </c>
      <c r="D243" s="448" t="s">
        <v>841</v>
      </c>
      <c r="E243" s="449"/>
      <c r="F243" s="34" t="s">
        <v>800</v>
      </c>
      <c r="G243" s="92">
        <v>3.2250000000000001</v>
      </c>
      <c r="H243" s="93">
        <v>401.91</v>
      </c>
      <c r="I243" s="100">
        <f t="shared" si="102"/>
        <v>1296.15975</v>
      </c>
      <c r="J243" s="94">
        <v>0.24229999999999999</v>
      </c>
      <c r="K243" s="100">
        <f t="shared" si="103"/>
        <v>314.05950742499999</v>
      </c>
      <c r="L243" s="95">
        <f t="shared" si="104"/>
        <v>1610.22</v>
      </c>
      <c r="M243" s="79"/>
      <c r="N243" s="78"/>
      <c r="O243" s="78"/>
      <c r="P243" s="78"/>
      <c r="Q243" s="78"/>
    </row>
    <row r="244" spans="1:17" ht="15" customHeight="1">
      <c r="A244" s="78"/>
      <c r="B244" s="91"/>
      <c r="C244" s="34">
        <v>3103302</v>
      </c>
      <c r="D244" s="448" t="s">
        <v>848</v>
      </c>
      <c r="E244" s="449"/>
      <c r="F244" s="34" t="s">
        <v>799</v>
      </c>
      <c r="G244" s="92">
        <v>60.4</v>
      </c>
      <c r="H244" s="93">
        <v>70.14</v>
      </c>
      <c r="I244" s="100">
        <f t="shared" si="102"/>
        <v>4236.4560000000001</v>
      </c>
      <c r="J244" s="94">
        <v>0.24229999999999999</v>
      </c>
      <c r="K244" s="100">
        <f t="shared" si="103"/>
        <v>1026.4932888000001</v>
      </c>
      <c r="L244" s="95">
        <f t="shared" si="104"/>
        <v>5262.95</v>
      </c>
      <c r="M244" s="79"/>
      <c r="N244" s="78"/>
      <c r="O244" s="78"/>
      <c r="P244" s="78"/>
      <c r="Q244" s="78"/>
    </row>
    <row r="245" spans="1:17" ht="15" customHeight="1">
      <c r="A245" s="78"/>
      <c r="B245" s="447"/>
      <c r="C245" s="364"/>
      <c r="D245" s="364"/>
      <c r="E245" s="364"/>
      <c r="F245" s="364"/>
      <c r="G245" s="364"/>
      <c r="H245" s="364"/>
      <c r="I245" s="364"/>
      <c r="J245" s="365"/>
      <c r="K245" s="96" t="s">
        <v>526</v>
      </c>
      <c r="L245" s="88">
        <f>SUM(L239:L244)</f>
        <v>24798.100000000002</v>
      </c>
      <c r="M245" s="79"/>
      <c r="N245" s="78"/>
      <c r="O245" s="78"/>
      <c r="P245" s="78"/>
      <c r="Q245" s="78"/>
    </row>
    <row r="246" spans="1:17" ht="15" customHeight="1">
      <c r="A246" s="78"/>
      <c r="B246" s="89" t="s">
        <v>1178</v>
      </c>
      <c r="C246" s="231" t="s">
        <v>850</v>
      </c>
      <c r="D246" s="450" t="s">
        <v>851</v>
      </c>
      <c r="E246" s="364"/>
      <c r="F246" s="364"/>
      <c r="G246" s="364"/>
      <c r="H246" s="364"/>
      <c r="I246" s="364"/>
      <c r="J246" s="364"/>
      <c r="K246" s="364"/>
      <c r="L246" s="428"/>
      <c r="M246" s="79"/>
      <c r="N246" s="78"/>
      <c r="O246" s="78"/>
      <c r="P246" s="78"/>
      <c r="Q246" s="78"/>
    </row>
    <row r="247" spans="1:17" ht="15" customHeight="1">
      <c r="A247" s="78"/>
      <c r="B247" s="91"/>
      <c r="C247" s="34" t="s">
        <v>706</v>
      </c>
      <c r="D247" s="448" t="s">
        <v>707</v>
      </c>
      <c r="E247" s="449"/>
      <c r="F247" s="34" t="s">
        <v>855</v>
      </c>
      <c r="G247" s="92">
        <v>1.161</v>
      </c>
      <c r="H247" s="93">
        <v>18.4068</v>
      </c>
      <c r="I247" s="100">
        <f t="shared" ref="I247:I252" si="105">G247*H247</f>
        <v>21.3702948</v>
      </c>
      <c r="J247" s="94">
        <v>0.24229999999999999</v>
      </c>
      <c r="K247" s="100">
        <f t="shared" ref="K247:K252" si="106">I247*J247</f>
        <v>5.1780224300399995</v>
      </c>
      <c r="L247" s="95">
        <f t="shared" ref="L247:L252" si="107">ROUND(I247+K247,2)</f>
        <v>26.55</v>
      </c>
      <c r="M247" s="79"/>
      <c r="N247" s="78"/>
      <c r="O247" s="78"/>
      <c r="P247" s="78"/>
      <c r="Q247" s="78"/>
    </row>
    <row r="248" spans="1:17" ht="15" customHeight="1">
      <c r="A248" s="78"/>
      <c r="B248" s="91"/>
      <c r="C248" s="34" t="s">
        <v>852</v>
      </c>
      <c r="D248" s="448" t="s">
        <v>853</v>
      </c>
      <c r="E248" s="449"/>
      <c r="F248" s="34" t="s">
        <v>800</v>
      </c>
      <c r="G248" s="92">
        <v>0.87</v>
      </c>
      <c r="H248" s="93">
        <v>130.95169999999999</v>
      </c>
      <c r="I248" s="100">
        <f t="shared" si="105"/>
        <v>113.92797899999999</v>
      </c>
      <c r="J248" s="94">
        <v>0.24229999999999999</v>
      </c>
      <c r="K248" s="100">
        <f t="shared" si="106"/>
        <v>27.604749311699997</v>
      </c>
      <c r="L248" s="95">
        <f t="shared" si="107"/>
        <v>141.53</v>
      </c>
      <c r="M248" s="79"/>
      <c r="N248" s="78"/>
      <c r="O248" s="78"/>
      <c r="P248" s="78"/>
      <c r="Q248" s="78"/>
    </row>
    <row r="249" spans="1:17" ht="15" customHeight="1">
      <c r="A249" s="78"/>
      <c r="B249" s="91"/>
      <c r="C249" s="34">
        <v>1107892</v>
      </c>
      <c r="D249" s="448" t="s">
        <v>840</v>
      </c>
      <c r="E249" s="449"/>
      <c r="F249" s="34" t="s">
        <v>800</v>
      </c>
      <c r="G249" s="92">
        <v>1.2</v>
      </c>
      <c r="H249" s="93">
        <v>414.41</v>
      </c>
      <c r="I249" s="100">
        <f t="shared" si="105"/>
        <v>497.29200000000003</v>
      </c>
      <c r="J249" s="94">
        <v>0.24229999999999999</v>
      </c>
      <c r="K249" s="100">
        <f t="shared" si="106"/>
        <v>120.4938516</v>
      </c>
      <c r="L249" s="95">
        <f t="shared" si="107"/>
        <v>617.79</v>
      </c>
      <c r="M249" s="79"/>
      <c r="N249" s="78"/>
      <c r="O249" s="78"/>
      <c r="P249" s="78"/>
      <c r="Q249" s="78"/>
    </row>
    <row r="250" spans="1:17" ht="15" customHeight="1">
      <c r="A250" s="78"/>
      <c r="B250" s="91"/>
      <c r="C250" s="34">
        <v>4805750</v>
      </c>
      <c r="D250" s="448" t="s">
        <v>854</v>
      </c>
      <c r="E250" s="449"/>
      <c r="F250" s="34" t="s">
        <v>800</v>
      </c>
      <c r="G250" s="92">
        <v>4.03</v>
      </c>
      <c r="H250" s="93">
        <v>37.28</v>
      </c>
      <c r="I250" s="100">
        <f t="shared" si="105"/>
        <v>150.23840000000001</v>
      </c>
      <c r="J250" s="94">
        <v>0.24229999999999999</v>
      </c>
      <c r="K250" s="100">
        <f t="shared" si="106"/>
        <v>36.402764320000003</v>
      </c>
      <c r="L250" s="95">
        <f t="shared" si="107"/>
        <v>186.64</v>
      </c>
      <c r="M250" s="79"/>
      <c r="N250" s="78"/>
      <c r="O250" s="78"/>
      <c r="P250" s="78"/>
      <c r="Q250" s="78"/>
    </row>
    <row r="251" spans="1:17" ht="15" customHeight="1">
      <c r="A251" s="78"/>
      <c r="B251" s="91"/>
      <c r="C251" s="34">
        <v>3103302</v>
      </c>
      <c r="D251" s="448" t="s">
        <v>848</v>
      </c>
      <c r="E251" s="449"/>
      <c r="F251" s="34" t="s">
        <v>799</v>
      </c>
      <c r="G251" s="92">
        <v>7.67</v>
      </c>
      <c r="H251" s="93">
        <v>70.14</v>
      </c>
      <c r="I251" s="100">
        <f t="shared" si="105"/>
        <v>537.97379999999998</v>
      </c>
      <c r="J251" s="94">
        <v>0.24229999999999999</v>
      </c>
      <c r="K251" s="100">
        <f t="shared" si="106"/>
        <v>130.35105174</v>
      </c>
      <c r="L251" s="95">
        <f t="shared" si="107"/>
        <v>668.32</v>
      </c>
      <c r="M251" s="79"/>
      <c r="N251" s="78"/>
      <c r="O251" s="78"/>
      <c r="P251" s="78"/>
      <c r="Q251" s="78"/>
    </row>
    <row r="252" spans="1:17" ht="15" customHeight="1">
      <c r="A252" s="78"/>
      <c r="B252" s="91"/>
      <c r="C252" s="34">
        <v>3103302</v>
      </c>
      <c r="D252" s="448" t="s">
        <v>877</v>
      </c>
      <c r="E252" s="449"/>
      <c r="F252" s="34" t="s">
        <v>856</v>
      </c>
      <c r="G252" s="92">
        <v>1.3049999999999999</v>
      </c>
      <c r="H252" s="93">
        <v>1.69</v>
      </c>
      <c r="I252" s="100">
        <f t="shared" si="105"/>
        <v>2.2054499999999999</v>
      </c>
      <c r="J252" s="94">
        <v>0.24229999999999999</v>
      </c>
      <c r="K252" s="100">
        <f t="shared" si="106"/>
        <v>0.53438053499999993</v>
      </c>
      <c r="L252" s="95">
        <f t="shared" si="107"/>
        <v>2.74</v>
      </c>
      <c r="M252" s="79"/>
      <c r="N252" s="78"/>
      <c r="O252" s="78"/>
      <c r="P252" s="78"/>
      <c r="Q252" s="78"/>
    </row>
    <row r="253" spans="1:17" ht="15" customHeight="1">
      <c r="A253" s="78"/>
      <c r="B253" s="447"/>
      <c r="C253" s="364"/>
      <c r="D253" s="364"/>
      <c r="E253" s="364"/>
      <c r="F253" s="364"/>
      <c r="G253" s="364"/>
      <c r="H253" s="364"/>
      <c r="I253" s="364"/>
      <c r="J253" s="365"/>
      <c r="K253" s="96" t="s">
        <v>526</v>
      </c>
      <c r="L253" s="88">
        <f>SUM(L247:L252)</f>
        <v>1643.57</v>
      </c>
      <c r="M253" s="79"/>
      <c r="N253" s="78"/>
      <c r="O253" s="78"/>
      <c r="P253" s="78"/>
      <c r="Q253" s="78"/>
    </row>
    <row r="254" spans="1:17" ht="15" customHeight="1">
      <c r="A254" s="78"/>
      <c r="B254" s="89" t="s">
        <v>1179</v>
      </c>
      <c r="C254" s="231" t="s">
        <v>857</v>
      </c>
      <c r="D254" s="450" t="s">
        <v>858</v>
      </c>
      <c r="E254" s="364"/>
      <c r="F254" s="364"/>
      <c r="G254" s="364"/>
      <c r="H254" s="364"/>
      <c r="I254" s="364"/>
      <c r="J254" s="364"/>
      <c r="K254" s="364"/>
      <c r="L254" s="428"/>
      <c r="M254" s="79"/>
      <c r="N254" s="78"/>
      <c r="O254" s="78"/>
      <c r="P254" s="78"/>
      <c r="Q254" s="78"/>
    </row>
    <row r="255" spans="1:17" ht="15" customHeight="1">
      <c r="A255" s="78"/>
      <c r="B255" s="91"/>
      <c r="C255" s="34" t="s">
        <v>859</v>
      </c>
      <c r="D255" s="448" t="s">
        <v>860</v>
      </c>
      <c r="E255" s="449"/>
      <c r="F255" s="34" t="s">
        <v>855</v>
      </c>
      <c r="G255" s="92">
        <v>1.205E-2</v>
      </c>
      <c r="H255" s="93">
        <v>6.4904000000000002</v>
      </c>
      <c r="I255" s="100">
        <f t="shared" ref="I255:I260" si="108">G255*H255</f>
        <v>7.8209319999999999E-2</v>
      </c>
      <c r="J255" s="94">
        <v>0.24229999999999999</v>
      </c>
      <c r="K255" s="100">
        <f t="shared" ref="K255:K260" si="109">I255*J255</f>
        <v>1.8950118235999999E-2</v>
      </c>
      <c r="L255" s="95">
        <f t="shared" ref="L255:L267" si="110">ROUND(I255+K255,2)</f>
        <v>0.1</v>
      </c>
      <c r="M255" s="79"/>
      <c r="N255" s="78"/>
      <c r="O255" s="78"/>
      <c r="P255" s="78"/>
      <c r="Q255" s="78"/>
    </row>
    <row r="256" spans="1:17" ht="15" customHeight="1">
      <c r="A256" s="78"/>
      <c r="B256" s="91"/>
      <c r="C256" s="34" t="s">
        <v>861</v>
      </c>
      <c r="D256" s="448" t="s">
        <v>862</v>
      </c>
      <c r="E256" s="449"/>
      <c r="F256" s="34" t="s">
        <v>855</v>
      </c>
      <c r="G256" s="92">
        <v>0.08</v>
      </c>
      <c r="H256" s="93">
        <v>22.195399999999999</v>
      </c>
      <c r="I256" s="100">
        <f t="shared" si="108"/>
        <v>1.7756319999999999</v>
      </c>
      <c r="J256" s="94">
        <v>0.24229999999999999</v>
      </c>
      <c r="K256" s="100">
        <f t="shared" si="109"/>
        <v>0.43023563359999994</v>
      </c>
      <c r="L256" s="95">
        <f t="shared" si="110"/>
        <v>2.21</v>
      </c>
      <c r="M256" s="79"/>
      <c r="N256" s="78"/>
      <c r="O256" s="78"/>
      <c r="P256" s="78"/>
      <c r="Q256" s="78"/>
    </row>
    <row r="257" spans="1:17" ht="15" customHeight="1">
      <c r="A257" s="78"/>
      <c r="B257" s="91"/>
      <c r="C257" s="34" t="s">
        <v>706</v>
      </c>
      <c r="D257" s="448" t="s">
        <v>707</v>
      </c>
      <c r="E257" s="449"/>
      <c r="F257" s="34" t="s">
        <v>855</v>
      </c>
      <c r="G257" s="92">
        <v>1.17205</v>
      </c>
      <c r="H257" s="93">
        <v>18.4068</v>
      </c>
      <c r="I257" s="100">
        <f t="shared" si="108"/>
        <v>21.573689940000001</v>
      </c>
      <c r="J257" s="94">
        <v>0.24229999999999999</v>
      </c>
      <c r="K257" s="100">
        <f t="shared" si="109"/>
        <v>5.2273050724620003</v>
      </c>
      <c r="L257" s="95">
        <f t="shared" si="110"/>
        <v>26.8</v>
      </c>
      <c r="M257" s="79"/>
      <c r="N257" s="78"/>
      <c r="O257" s="78"/>
      <c r="P257" s="78"/>
      <c r="Q257" s="78"/>
    </row>
    <row r="258" spans="1:17" ht="15" customHeight="1">
      <c r="A258" s="78"/>
      <c r="B258" s="91"/>
      <c r="C258" s="34" t="s">
        <v>863</v>
      </c>
      <c r="D258" s="448" t="s">
        <v>864</v>
      </c>
      <c r="E258" s="449"/>
      <c r="F258" s="34" t="s">
        <v>800</v>
      </c>
      <c r="G258" s="92">
        <v>0.28000000000000003</v>
      </c>
      <c r="H258" s="93">
        <v>147.6473</v>
      </c>
      <c r="I258" s="100">
        <f t="shared" si="108"/>
        <v>41.341244000000003</v>
      </c>
      <c r="J258" s="94">
        <v>0.24229999999999999</v>
      </c>
      <c r="K258" s="100">
        <f t="shared" si="109"/>
        <v>10.016983421200001</v>
      </c>
      <c r="L258" s="95">
        <f t="shared" si="110"/>
        <v>51.36</v>
      </c>
      <c r="M258" s="79"/>
      <c r="N258" s="78"/>
      <c r="O258" s="78"/>
      <c r="P258" s="78"/>
      <c r="Q258" s="78"/>
    </row>
    <row r="259" spans="1:17" ht="15" customHeight="1">
      <c r="A259" s="78"/>
      <c r="B259" s="91"/>
      <c r="C259" s="34" t="s">
        <v>865</v>
      </c>
      <c r="D259" s="448" t="s">
        <v>866</v>
      </c>
      <c r="E259" s="449"/>
      <c r="F259" s="34" t="s">
        <v>800</v>
      </c>
      <c r="G259" s="92">
        <v>0.28000000000000003</v>
      </c>
      <c r="H259" s="93">
        <v>143.44730000000001</v>
      </c>
      <c r="I259" s="100">
        <f t="shared" si="108"/>
        <v>40.165244000000008</v>
      </c>
      <c r="J259" s="94">
        <v>0.24229999999999999</v>
      </c>
      <c r="K259" s="100">
        <f t="shared" si="109"/>
        <v>9.732038621200001</v>
      </c>
      <c r="L259" s="95">
        <f t="shared" si="110"/>
        <v>49.9</v>
      </c>
      <c r="M259" s="79"/>
      <c r="N259" s="78"/>
      <c r="O259" s="78"/>
      <c r="P259" s="78"/>
      <c r="Q259" s="78"/>
    </row>
    <row r="260" spans="1:17" ht="15" customHeight="1">
      <c r="A260" s="78"/>
      <c r="B260" s="91"/>
      <c r="C260" s="34" t="s">
        <v>867</v>
      </c>
      <c r="D260" s="448" t="s">
        <v>868</v>
      </c>
      <c r="E260" s="449"/>
      <c r="F260" s="34" t="s">
        <v>799</v>
      </c>
      <c r="G260" s="92">
        <v>3.7</v>
      </c>
      <c r="H260" s="93">
        <v>7.5476000000000001</v>
      </c>
      <c r="I260" s="100">
        <f t="shared" si="108"/>
        <v>27.926120000000001</v>
      </c>
      <c r="J260" s="94">
        <v>0.24229999999999999</v>
      </c>
      <c r="K260" s="100">
        <f t="shared" si="109"/>
        <v>6.766498876</v>
      </c>
      <c r="L260" s="95">
        <f t="shared" si="110"/>
        <v>34.69</v>
      </c>
      <c r="M260" s="79"/>
      <c r="N260" s="78"/>
      <c r="O260" s="78"/>
      <c r="P260" s="78"/>
      <c r="Q260" s="78"/>
    </row>
    <row r="261" spans="1:17" ht="15" customHeight="1">
      <c r="A261" s="78"/>
      <c r="B261" s="248"/>
      <c r="C261" s="34">
        <v>4816106</v>
      </c>
      <c r="D261" s="448" t="s">
        <v>869</v>
      </c>
      <c r="E261" s="449"/>
      <c r="F261" s="34" t="s">
        <v>876</v>
      </c>
      <c r="G261" s="92">
        <v>1</v>
      </c>
      <c r="H261" s="93">
        <v>29.44</v>
      </c>
      <c r="I261" s="100">
        <f t="shared" ref="I261:I267" si="111">G261*H261</f>
        <v>29.44</v>
      </c>
      <c r="J261" s="94">
        <v>0.24229999999999999</v>
      </c>
      <c r="K261" s="100">
        <f t="shared" ref="K261:K267" si="112">I261*J261</f>
        <v>7.1333120000000001</v>
      </c>
      <c r="L261" s="95">
        <f t="shared" si="110"/>
        <v>36.57</v>
      </c>
      <c r="M261" s="79"/>
      <c r="N261" s="78"/>
      <c r="O261" s="78"/>
      <c r="P261" s="78"/>
      <c r="Q261" s="78"/>
    </row>
    <row r="262" spans="1:17" ht="15" customHeight="1">
      <c r="A262" s="78"/>
      <c r="B262" s="248"/>
      <c r="C262" s="34">
        <v>4805757</v>
      </c>
      <c r="D262" s="448" t="s">
        <v>870</v>
      </c>
      <c r="E262" s="449"/>
      <c r="F262" s="34" t="s">
        <v>800</v>
      </c>
      <c r="G262" s="92">
        <v>0.75</v>
      </c>
      <c r="H262" s="93">
        <v>6.58</v>
      </c>
      <c r="I262" s="100">
        <f t="shared" si="111"/>
        <v>4.9350000000000005</v>
      </c>
      <c r="J262" s="94">
        <v>0.24229999999999999</v>
      </c>
      <c r="K262" s="100">
        <f t="shared" si="112"/>
        <v>1.1957505000000002</v>
      </c>
      <c r="L262" s="95">
        <f t="shared" si="110"/>
        <v>6.13</v>
      </c>
      <c r="M262" s="79"/>
      <c r="N262" s="78"/>
      <c r="O262" s="78"/>
      <c r="P262" s="78"/>
      <c r="Q262" s="78"/>
    </row>
    <row r="263" spans="1:17" ht="15" customHeight="1">
      <c r="A263" s="78"/>
      <c r="B263" s="248"/>
      <c r="C263" s="34">
        <v>4816119</v>
      </c>
      <c r="D263" s="448" t="s">
        <v>871</v>
      </c>
      <c r="E263" s="449"/>
      <c r="F263" s="34" t="s">
        <v>800</v>
      </c>
      <c r="G263" s="92">
        <v>0.13</v>
      </c>
      <c r="H263" s="93">
        <v>31.29</v>
      </c>
      <c r="I263" s="100">
        <f t="shared" si="111"/>
        <v>4.0677000000000003</v>
      </c>
      <c r="J263" s="94">
        <v>0.24229999999999999</v>
      </c>
      <c r="K263" s="100">
        <f t="shared" si="112"/>
        <v>0.98560371000000002</v>
      </c>
      <c r="L263" s="95">
        <f t="shared" si="110"/>
        <v>5.05</v>
      </c>
      <c r="M263" s="79"/>
      <c r="N263" s="78"/>
      <c r="O263" s="78"/>
      <c r="P263" s="78"/>
      <c r="Q263" s="78"/>
    </row>
    <row r="264" spans="1:17" ht="15" customHeight="1">
      <c r="A264" s="78"/>
      <c r="B264" s="248"/>
      <c r="C264" s="34">
        <v>4816106</v>
      </c>
      <c r="D264" s="448" t="s">
        <v>872</v>
      </c>
      <c r="E264" s="449"/>
      <c r="F264" s="34" t="s">
        <v>856</v>
      </c>
      <c r="G264" s="92">
        <v>5.5E-2</v>
      </c>
      <c r="H264" s="93">
        <v>31.5</v>
      </c>
      <c r="I264" s="100">
        <f t="shared" si="111"/>
        <v>1.7324999999999999</v>
      </c>
      <c r="J264" s="94">
        <v>0.24229999999999999</v>
      </c>
      <c r="K264" s="100">
        <f t="shared" si="112"/>
        <v>0.41978474999999998</v>
      </c>
      <c r="L264" s="95">
        <f t="shared" si="110"/>
        <v>2.15</v>
      </c>
      <c r="M264" s="79"/>
      <c r="N264" s="78"/>
      <c r="O264" s="78"/>
      <c r="P264" s="78"/>
      <c r="Q264" s="78"/>
    </row>
    <row r="265" spans="1:17" ht="15" customHeight="1">
      <c r="A265" s="78"/>
      <c r="B265" s="248"/>
      <c r="C265" s="34" t="s">
        <v>863</v>
      </c>
      <c r="D265" s="448" t="s">
        <v>873</v>
      </c>
      <c r="E265" s="449"/>
      <c r="F265" s="34" t="s">
        <v>856</v>
      </c>
      <c r="G265" s="92">
        <v>0.42</v>
      </c>
      <c r="H265" s="93">
        <v>1.69</v>
      </c>
      <c r="I265" s="100">
        <f t="shared" si="111"/>
        <v>0.70979999999999999</v>
      </c>
      <c r="J265" s="94">
        <v>0.24229999999999999</v>
      </c>
      <c r="K265" s="100">
        <f t="shared" si="112"/>
        <v>0.17198453999999999</v>
      </c>
      <c r="L265" s="95">
        <f t="shared" si="110"/>
        <v>0.88</v>
      </c>
      <c r="M265" s="79"/>
      <c r="N265" s="78"/>
      <c r="O265" s="78"/>
      <c r="P265" s="78"/>
      <c r="Q265" s="78"/>
    </row>
    <row r="266" spans="1:17" ht="15" customHeight="1">
      <c r="A266" s="78"/>
      <c r="B266" s="248"/>
      <c r="C266" s="34" t="s">
        <v>865</v>
      </c>
      <c r="D266" s="448" t="s">
        <v>874</v>
      </c>
      <c r="E266" s="449"/>
      <c r="F266" s="34" t="s">
        <v>856</v>
      </c>
      <c r="G266" s="92">
        <v>0.42</v>
      </c>
      <c r="H266" s="93">
        <v>1.69</v>
      </c>
      <c r="I266" s="100">
        <f t="shared" si="111"/>
        <v>0.70979999999999999</v>
      </c>
      <c r="J266" s="94">
        <v>0.24229999999999999</v>
      </c>
      <c r="K266" s="100">
        <f t="shared" si="112"/>
        <v>0.17198453999999999</v>
      </c>
      <c r="L266" s="95">
        <f t="shared" si="110"/>
        <v>0.88</v>
      </c>
      <c r="M266" s="79"/>
      <c r="N266" s="78"/>
      <c r="O266" s="78"/>
      <c r="P266" s="78"/>
      <c r="Q266" s="78"/>
    </row>
    <row r="267" spans="1:17" ht="15" customHeight="1">
      <c r="A267" s="78"/>
      <c r="B267" s="248"/>
      <c r="C267" s="34" t="s">
        <v>867</v>
      </c>
      <c r="D267" s="448" t="s">
        <v>875</v>
      </c>
      <c r="E267" s="449"/>
      <c r="F267" s="34" t="s">
        <v>856</v>
      </c>
      <c r="G267" s="92">
        <v>9.3000000000000005E-4</v>
      </c>
      <c r="H267" s="93">
        <v>31.5</v>
      </c>
      <c r="I267" s="100">
        <f t="shared" si="111"/>
        <v>2.9295000000000002E-2</v>
      </c>
      <c r="J267" s="94">
        <v>0.24229999999999999</v>
      </c>
      <c r="K267" s="100">
        <f t="shared" si="112"/>
        <v>7.0981784999999999E-3</v>
      </c>
      <c r="L267" s="95">
        <f t="shared" si="110"/>
        <v>0.04</v>
      </c>
      <c r="M267" s="79"/>
      <c r="N267" s="78"/>
      <c r="O267" s="78"/>
      <c r="P267" s="78"/>
      <c r="Q267" s="78"/>
    </row>
    <row r="268" spans="1:17" ht="15" customHeight="1">
      <c r="A268" s="78"/>
      <c r="B268" s="447"/>
      <c r="C268" s="364"/>
      <c r="D268" s="364"/>
      <c r="E268" s="364"/>
      <c r="F268" s="364"/>
      <c r="G268" s="364"/>
      <c r="H268" s="364"/>
      <c r="I268" s="364"/>
      <c r="J268" s="365"/>
      <c r="K268" s="96" t="s">
        <v>526</v>
      </c>
      <c r="L268" s="88">
        <f>SUM(L255:L267)</f>
        <v>216.76</v>
      </c>
      <c r="M268" s="79"/>
      <c r="N268" s="78"/>
      <c r="O268" s="78"/>
      <c r="P268" s="78"/>
      <c r="Q268" s="78"/>
    </row>
    <row r="269" spans="1:17" ht="15" customHeight="1">
      <c r="A269" s="78"/>
      <c r="B269" s="89" t="s">
        <v>1180</v>
      </c>
      <c r="C269" s="231" t="s">
        <v>888</v>
      </c>
      <c r="D269" s="450" t="s">
        <v>889</v>
      </c>
      <c r="E269" s="364"/>
      <c r="F269" s="364"/>
      <c r="G269" s="364"/>
      <c r="H269" s="364"/>
      <c r="I269" s="364"/>
      <c r="J269" s="364"/>
      <c r="K269" s="364"/>
      <c r="L269" s="428"/>
      <c r="M269" s="79"/>
      <c r="N269" s="78"/>
      <c r="O269" s="78"/>
      <c r="P269" s="78"/>
      <c r="Q269" s="78"/>
    </row>
    <row r="270" spans="1:17" ht="15" customHeight="1">
      <c r="A270" s="78"/>
      <c r="B270" s="91"/>
      <c r="C270" s="34" t="s">
        <v>890</v>
      </c>
      <c r="D270" s="448" t="s">
        <v>891</v>
      </c>
      <c r="E270" s="449"/>
      <c r="F270" s="34" t="s">
        <v>855</v>
      </c>
      <c r="G270" s="92">
        <f>1/4.2</f>
        <v>0.23809523809523808</v>
      </c>
      <c r="H270" s="93">
        <v>150.6319</v>
      </c>
      <c r="I270" s="100">
        <f t="shared" ref="I270:I276" si="113">G270*H270</f>
        <v>35.864738095238096</v>
      </c>
      <c r="J270" s="94">
        <v>0.24229999999999999</v>
      </c>
      <c r="K270" s="100">
        <f t="shared" ref="K270:K276" si="114">I270*J270</f>
        <v>8.6900260404761909</v>
      </c>
      <c r="L270" s="95">
        <f t="shared" ref="L270:L276" si="115">ROUND(I270+K270,2)</f>
        <v>44.55</v>
      </c>
      <c r="M270" s="79"/>
      <c r="N270" s="78"/>
      <c r="O270" s="78"/>
      <c r="P270" s="78"/>
      <c r="Q270" s="78"/>
    </row>
    <row r="271" spans="1:17" ht="15" customHeight="1">
      <c r="A271" s="78"/>
      <c r="B271" s="91"/>
      <c r="C271" s="34" t="s">
        <v>861</v>
      </c>
      <c r="D271" s="448" t="s">
        <v>862</v>
      </c>
      <c r="E271" s="449"/>
      <c r="F271" s="34" t="s">
        <v>855</v>
      </c>
      <c r="G271" s="92">
        <f>4/4.2</f>
        <v>0.95238095238095233</v>
      </c>
      <c r="H271" s="93">
        <v>22.195399999999999</v>
      </c>
      <c r="I271" s="100">
        <f t="shared" si="113"/>
        <v>21.13847619047619</v>
      </c>
      <c r="J271" s="94">
        <v>0.24229999999999999</v>
      </c>
      <c r="K271" s="100">
        <f t="shared" si="114"/>
        <v>5.1218527809523806</v>
      </c>
      <c r="L271" s="95">
        <f t="shared" si="115"/>
        <v>26.26</v>
      </c>
      <c r="M271" s="79"/>
      <c r="N271" s="78"/>
      <c r="O271" s="78"/>
      <c r="P271" s="78"/>
      <c r="Q271" s="78"/>
    </row>
    <row r="272" spans="1:17" ht="15" customHeight="1">
      <c r="A272" s="78"/>
      <c r="B272" s="91"/>
      <c r="C272" s="34" t="s">
        <v>706</v>
      </c>
      <c r="D272" s="448" t="s">
        <v>707</v>
      </c>
      <c r="E272" s="449"/>
      <c r="F272" s="34" t="s">
        <v>855</v>
      </c>
      <c r="G272" s="92">
        <f>8/4.2</f>
        <v>1.9047619047619047</v>
      </c>
      <c r="H272" s="93">
        <v>18.4068</v>
      </c>
      <c r="I272" s="100">
        <f t="shared" si="113"/>
        <v>35.060571428571428</v>
      </c>
      <c r="J272" s="94">
        <v>0.24229999999999999</v>
      </c>
      <c r="K272" s="100">
        <f t="shared" si="114"/>
        <v>8.4951764571428559</v>
      </c>
      <c r="L272" s="95">
        <f t="shared" si="115"/>
        <v>43.56</v>
      </c>
      <c r="M272" s="79"/>
      <c r="N272" s="78"/>
      <c r="O272" s="78"/>
      <c r="P272" s="78"/>
      <c r="Q272" s="78"/>
    </row>
    <row r="273" spans="1:17" ht="15" customHeight="1">
      <c r="A273" s="78"/>
      <c r="B273" s="91"/>
      <c r="C273" s="34" t="s">
        <v>892</v>
      </c>
      <c r="D273" s="448" t="s">
        <v>893</v>
      </c>
      <c r="E273" s="449"/>
      <c r="F273" s="34" t="s">
        <v>800</v>
      </c>
      <c r="G273" s="92">
        <v>1</v>
      </c>
      <c r="H273" s="93">
        <v>786.57249999999999</v>
      </c>
      <c r="I273" s="100">
        <f t="shared" si="113"/>
        <v>786.57249999999999</v>
      </c>
      <c r="J273" s="94">
        <v>0.24229999999999999</v>
      </c>
      <c r="K273" s="100">
        <f t="shared" si="114"/>
        <v>190.58651674999999</v>
      </c>
      <c r="L273" s="95">
        <f t="shared" si="115"/>
        <v>977.16</v>
      </c>
      <c r="M273" s="79"/>
      <c r="N273" s="78"/>
      <c r="O273" s="78"/>
      <c r="P273" s="78"/>
      <c r="Q273" s="78"/>
    </row>
    <row r="274" spans="1:17" ht="15" customHeight="1">
      <c r="A274" s="78"/>
      <c r="B274" s="91"/>
      <c r="C274" s="34" t="s">
        <v>852</v>
      </c>
      <c r="D274" s="448" t="s">
        <v>853</v>
      </c>
      <c r="E274" s="449"/>
      <c r="F274" s="34" t="s">
        <v>800</v>
      </c>
      <c r="G274" s="92">
        <f>1.15/4.2</f>
        <v>0.27380952380952378</v>
      </c>
      <c r="H274" s="93">
        <v>130.95169999999999</v>
      </c>
      <c r="I274" s="100">
        <f t="shared" si="113"/>
        <v>35.855822619047615</v>
      </c>
      <c r="J274" s="94">
        <v>0.24229999999999999</v>
      </c>
      <c r="K274" s="100">
        <f t="shared" si="114"/>
        <v>8.6878658205952366</v>
      </c>
      <c r="L274" s="95">
        <f t="shared" si="115"/>
        <v>44.54</v>
      </c>
      <c r="M274" s="79"/>
      <c r="N274" s="78"/>
      <c r="O274" s="78"/>
      <c r="P274" s="78"/>
      <c r="Q274" s="78"/>
    </row>
    <row r="275" spans="1:17" ht="15" customHeight="1">
      <c r="A275" s="78"/>
      <c r="B275" s="91"/>
      <c r="C275" s="34" t="s">
        <v>892</v>
      </c>
      <c r="D275" s="448" t="s">
        <v>894</v>
      </c>
      <c r="E275" s="449"/>
      <c r="F275" s="34" t="s">
        <v>799</v>
      </c>
      <c r="G275" s="92">
        <f>0.014/4.2</f>
        <v>3.3333333333333331E-3</v>
      </c>
      <c r="H275" s="93">
        <v>31.5</v>
      </c>
      <c r="I275" s="100">
        <f t="shared" si="113"/>
        <v>0.105</v>
      </c>
      <c r="J275" s="94">
        <v>0.24229999999999999</v>
      </c>
      <c r="K275" s="100">
        <f t="shared" si="114"/>
        <v>2.5441499999999999E-2</v>
      </c>
      <c r="L275" s="95">
        <f t="shared" si="115"/>
        <v>0.13</v>
      </c>
      <c r="M275" s="79"/>
      <c r="N275" s="78"/>
      <c r="O275" s="78"/>
      <c r="P275" s="78"/>
      <c r="Q275" s="78"/>
    </row>
    <row r="276" spans="1:17" ht="15" customHeight="1">
      <c r="A276" s="78"/>
      <c r="B276" s="248"/>
      <c r="C276" s="34" t="s">
        <v>852</v>
      </c>
      <c r="D276" s="448" t="s">
        <v>895</v>
      </c>
      <c r="E276" s="449"/>
      <c r="F276" s="34" t="s">
        <v>876</v>
      </c>
      <c r="G276" s="92">
        <f>1.725/4.2</f>
        <v>0.4107142857142857</v>
      </c>
      <c r="H276" s="93">
        <v>1.69</v>
      </c>
      <c r="I276" s="100">
        <f t="shared" si="113"/>
        <v>0.69410714285714281</v>
      </c>
      <c r="J276" s="94">
        <v>0.24229999999999999</v>
      </c>
      <c r="K276" s="100">
        <f t="shared" si="114"/>
        <v>0.16818216071428568</v>
      </c>
      <c r="L276" s="95">
        <f t="shared" si="115"/>
        <v>0.86</v>
      </c>
      <c r="M276" s="79"/>
      <c r="N276" s="78"/>
      <c r="O276" s="78"/>
      <c r="P276" s="78"/>
      <c r="Q276" s="78"/>
    </row>
    <row r="277" spans="1:17" ht="15" customHeight="1">
      <c r="A277" s="78"/>
      <c r="B277" s="447"/>
      <c r="C277" s="364"/>
      <c r="D277" s="364"/>
      <c r="E277" s="364"/>
      <c r="F277" s="364"/>
      <c r="G277" s="364"/>
      <c r="H277" s="364"/>
      <c r="I277" s="364"/>
      <c r="J277" s="365"/>
      <c r="K277" s="96" t="s">
        <v>526</v>
      </c>
      <c r="L277" s="88">
        <f>SUM(L270:L276)</f>
        <v>1137.06</v>
      </c>
      <c r="M277" s="79"/>
      <c r="N277" s="78"/>
      <c r="O277" s="78"/>
      <c r="P277" s="78"/>
      <c r="Q277" s="78"/>
    </row>
    <row r="278" spans="1:17" ht="15" customHeight="1">
      <c r="A278" s="78"/>
      <c r="B278" s="89" t="s">
        <v>1181</v>
      </c>
      <c r="C278" s="231">
        <v>2003993</v>
      </c>
      <c r="D278" s="450" t="s">
        <v>897</v>
      </c>
      <c r="E278" s="364"/>
      <c r="F278" s="364"/>
      <c r="G278" s="364"/>
      <c r="H278" s="364"/>
      <c r="I278" s="364"/>
      <c r="J278" s="364" t="s">
        <v>899</v>
      </c>
      <c r="K278" s="364"/>
      <c r="L278" s="428"/>
      <c r="M278" s="79"/>
      <c r="N278" s="78"/>
      <c r="O278" s="78"/>
      <c r="P278" s="78"/>
      <c r="Q278" s="78"/>
    </row>
    <row r="279" spans="1:17" ht="15" customHeight="1">
      <c r="A279" s="78"/>
      <c r="B279" s="91"/>
      <c r="C279" s="34" t="s">
        <v>809</v>
      </c>
      <c r="D279" s="448" t="s">
        <v>813</v>
      </c>
      <c r="E279" s="449"/>
      <c r="F279" s="34" t="s">
        <v>855</v>
      </c>
      <c r="G279" s="92">
        <v>1.6666666666666666E-2</v>
      </c>
      <c r="H279" s="93">
        <v>299.72149999999999</v>
      </c>
      <c r="I279" s="100">
        <f t="shared" ref="I279:I283" si="116">G279*H279</f>
        <v>4.9953583333333329</v>
      </c>
      <c r="J279" s="94">
        <v>0.24229999999999999</v>
      </c>
      <c r="K279" s="100">
        <f t="shared" ref="K279:K283" si="117">I279*J279</f>
        <v>1.2103753241666666</v>
      </c>
      <c r="L279" s="95">
        <f t="shared" ref="L279:L283" si="118">ROUND(I279+K279,2)</f>
        <v>6.21</v>
      </c>
      <c r="M279" s="79"/>
      <c r="N279" s="78"/>
      <c r="O279" s="78"/>
      <c r="P279" s="78"/>
      <c r="Q279" s="78"/>
    </row>
    <row r="280" spans="1:17" ht="15" customHeight="1">
      <c r="A280" s="78"/>
      <c r="B280" s="91"/>
      <c r="C280" s="34" t="s">
        <v>861</v>
      </c>
      <c r="D280" s="448" t="s">
        <v>862</v>
      </c>
      <c r="E280" s="449"/>
      <c r="F280" s="34" t="s">
        <v>855</v>
      </c>
      <c r="G280" s="92">
        <v>3.3333333333333333E-2</v>
      </c>
      <c r="H280" s="93">
        <v>22.195399999999999</v>
      </c>
      <c r="I280" s="100">
        <f t="shared" si="116"/>
        <v>0.73984666666666665</v>
      </c>
      <c r="J280" s="94">
        <v>0.24229999999999999</v>
      </c>
      <c r="K280" s="100">
        <f t="shared" si="117"/>
        <v>0.17926484733333331</v>
      </c>
      <c r="L280" s="95">
        <f t="shared" si="118"/>
        <v>0.92</v>
      </c>
      <c r="M280" s="79"/>
      <c r="N280" s="78"/>
      <c r="O280" s="78"/>
      <c r="P280" s="78"/>
      <c r="Q280" s="78"/>
    </row>
    <row r="281" spans="1:17" ht="15" customHeight="1">
      <c r="A281" s="78"/>
      <c r="B281" s="91"/>
      <c r="C281" s="34" t="s">
        <v>706</v>
      </c>
      <c r="D281" s="448" t="s">
        <v>707</v>
      </c>
      <c r="E281" s="449"/>
      <c r="F281" s="34" t="s">
        <v>855</v>
      </c>
      <c r="G281" s="92">
        <v>0.1</v>
      </c>
      <c r="H281" s="93">
        <v>18.4068</v>
      </c>
      <c r="I281" s="100">
        <f t="shared" si="116"/>
        <v>1.8406800000000001</v>
      </c>
      <c r="J281" s="94">
        <v>0.24229999999999999</v>
      </c>
      <c r="K281" s="100">
        <f t="shared" si="117"/>
        <v>0.44599676399999999</v>
      </c>
      <c r="L281" s="95">
        <f t="shared" si="118"/>
        <v>2.29</v>
      </c>
      <c r="M281" s="79"/>
      <c r="N281" s="78"/>
      <c r="O281" s="78"/>
      <c r="P281" s="78"/>
      <c r="Q281" s="78"/>
    </row>
    <row r="282" spans="1:17" ht="15" customHeight="1">
      <c r="A282" s="78"/>
      <c r="B282" s="91"/>
      <c r="C282" s="34" t="s">
        <v>900</v>
      </c>
      <c r="D282" s="448" t="s">
        <v>901</v>
      </c>
      <c r="E282" s="449"/>
      <c r="F282" s="34" t="s">
        <v>876</v>
      </c>
      <c r="G282" s="92">
        <v>1.03383</v>
      </c>
      <c r="H282" s="93">
        <v>2436.6248999999998</v>
      </c>
      <c r="I282" s="100">
        <f t="shared" si="116"/>
        <v>2519.055920367</v>
      </c>
      <c r="J282" s="94">
        <v>0.24229999999999999</v>
      </c>
      <c r="K282" s="100">
        <f t="shared" si="117"/>
        <v>610.36724950492408</v>
      </c>
      <c r="L282" s="95">
        <f t="shared" si="118"/>
        <v>3129.42</v>
      </c>
      <c r="M282" s="79"/>
      <c r="N282" s="78"/>
      <c r="O282" s="78"/>
      <c r="P282" s="78"/>
      <c r="Q282" s="78"/>
    </row>
    <row r="283" spans="1:17" ht="15" customHeight="1">
      <c r="A283" s="78"/>
      <c r="B283" s="91"/>
      <c r="C283" s="34">
        <v>2003576</v>
      </c>
      <c r="D283" s="448" t="s">
        <v>902</v>
      </c>
      <c r="E283" s="449"/>
      <c r="F283" s="34" t="s">
        <v>800</v>
      </c>
      <c r="G283" s="92">
        <v>0.48749999999999999</v>
      </c>
      <c r="H283" s="93">
        <v>14.21</v>
      </c>
      <c r="I283" s="100">
        <f t="shared" si="116"/>
        <v>6.9273750000000005</v>
      </c>
      <c r="J283" s="94">
        <v>0.24229999999999999</v>
      </c>
      <c r="K283" s="100">
        <f t="shared" si="117"/>
        <v>1.6785029625000001</v>
      </c>
      <c r="L283" s="95">
        <f t="shared" si="118"/>
        <v>8.61</v>
      </c>
      <c r="M283" s="79"/>
      <c r="N283" s="78"/>
      <c r="O283" s="78"/>
      <c r="P283" s="78"/>
      <c r="Q283" s="78"/>
    </row>
    <row r="284" spans="1:17" ht="15" customHeight="1">
      <c r="A284" s="78"/>
      <c r="B284" s="447"/>
      <c r="C284" s="364"/>
      <c r="D284" s="364"/>
      <c r="E284" s="364"/>
      <c r="F284" s="364"/>
      <c r="G284" s="364"/>
      <c r="H284" s="364"/>
      <c r="I284" s="364"/>
      <c r="J284" s="365"/>
      <c r="K284" s="96" t="s">
        <v>526</v>
      </c>
      <c r="L284" s="88">
        <f>SUM(L279:L283)</f>
        <v>3147.4500000000003</v>
      </c>
      <c r="M284" s="79"/>
      <c r="N284" s="78"/>
      <c r="O284" s="78"/>
      <c r="P284" s="78"/>
      <c r="Q284" s="78"/>
    </row>
    <row r="285" spans="1:17" ht="15" customHeight="1">
      <c r="A285" s="78"/>
      <c r="B285" s="89" t="s">
        <v>1213</v>
      </c>
      <c r="C285" s="231">
        <v>4011297</v>
      </c>
      <c r="D285" s="450" t="s">
        <v>904</v>
      </c>
      <c r="E285" s="364"/>
      <c r="F285" s="364"/>
      <c r="G285" s="364"/>
      <c r="H285" s="364"/>
      <c r="I285" s="364"/>
      <c r="J285" s="364" t="s">
        <v>899</v>
      </c>
      <c r="K285" s="364"/>
      <c r="L285" s="428"/>
      <c r="M285" s="79"/>
      <c r="N285" s="78"/>
      <c r="O285" s="78"/>
      <c r="P285" s="78"/>
      <c r="Q285" s="78"/>
    </row>
    <row r="286" spans="1:17" ht="15" customHeight="1">
      <c r="A286" s="78"/>
      <c r="B286" s="91"/>
      <c r="C286" s="34" t="s">
        <v>728</v>
      </c>
      <c r="D286" s="448" t="s">
        <v>732</v>
      </c>
      <c r="E286" s="449"/>
      <c r="F286" s="34" t="s">
        <v>1196</v>
      </c>
      <c r="G286" s="92">
        <v>5.5010604453870626E-3</v>
      </c>
      <c r="H286" s="93">
        <v>321.80119999999999</v>
      </c>
      <c r="I286" s="100">
        <f t="shared" ref="I286:I289" si="119">G286*H286</f>
        <v>1.7702478525980911</v>
      </c>
      <c r="J286" s="94">
        <v>0.24229999999999999</v>
      </c>
      <c r="K286" s="100">
        <f t="shared" ref="K286:K289" si="120">I286*J286</f>
        <v>0.42893105468451748</v>
      </c>
      <c r="L286" s="95">
        <f t="shared" ref="L286:L303" si="121">ROUND(I286+K286,2)</f>
        <v>2.2000000000000002</v>
      </c>
      <c r="M286" s="79"/>
      <c r="N286" s="78"/>
      <c r="O286" s="78"/>
      <c r="P286" s="78"/>
      <c r="Q286" s="78"/>
    </row>
    <row r="287" spans="1:17" ht="15" customHeight="1">
      <c r="A287" s="78"/>
      <c r="B287" s="91"/>
      <c r="C287" s="34" t="s">
        <v>728</v>
      </c>
      <c r="D287" s="448" t="s">
        <v>732</v>
      </c>
      <c r="E287" s="449"/>
      <c r="F287" s="34" t="s">
        <v>1195</v>
      </c>
      <c r="G287" s="92">
        <v>1.1267232237539768E-3</v>
      </c>
      <c r="H287" s="93">
        <v>80.150199999999998</v>
      </c>
      <c r="I287" s="100">
        <f t="shared" si="119"/>
        <v>9.0307091728525982E-2</v>
      </c>
      <c r="J287" s="94">
        <v>0.24229999999999999</v>
      </c>
      <c r="K287" s="100">
        <f t="shared" si="120"/>
        <v>2.1881408325821843E-2</v>
      </c>
      <c r="L287" s="95">
        <f t="shared" si="121"/>
        <v>0.11</v>
      </c>
      <c r="M287" s="79"/>
      <c r="N287" s="78"/>
      <c r="O287" s="78"/>
      <c r="P287" s="78"/>
      <c r="Q287" s="78"/>
    </row>
    <row r="288" spans="1:17" ht="15" customHeight="1">
      <c r="A288" s="78"/>
      <c r="B288" s="91"/>
      <c r="C288" s="34" t="s">
        <v>729</v>
      </c>
      <c r="D288" s="448" t="s">
        <v>733</v>
      </c>
      <c r="E288" s="449"/>
      <c r="F288" s="34" t="s">
        <v>1196</v>
      </c>
      <c r="G288" s="92">
        <v>4.1092258748674443E-3</v>
      </c>
      <c r="H288" s="93">
        <v>4.8848000000000003</v>
      </c>
      <c r="I288" s="100">
        <f t="shared" si="119"/>
        <v>2.0072746553552494E-2</v>
      </c>
      <c r="J288" s="94">
        <v>0.24229999999999999</v>
      </c>
      <c r="K288" s="100">
        <f t="shared" si="120"/>
        <v>4.8636264899257695E-3</v>
      </c>
      <c r="L288" s="95">
        <f t="shared" si="121"/>
        <v>0.02</v>
      </c>
      <c r="M288" s="79"/>
      <c r="N288" s="78"/>
      <c r="O288" s="78"/>
      <c r="P288" s="78"/>
      <c r="Q288" s="78"/>
    </row>
    <row r="289" spans="1:17" ht="15" customHeight="1">
      <c r="A289" s="78"/>
      <c r="B289" s="91"/>
      <c r="C289" s="34" t="s">
        <v>729</v>
      </c>
      <c r="D289" s="448" t="s">
        <v>733</v>
      </c>
      <c r="E289" s="449"/>
      <c r="F289" s="34" t="s">
        <v>1195</v>
      </c>
      <c r="G289" s="92">
        <v>2.5185577942735951E-3</v>
      </c>
      <c r="H289" s="93">
        <v>3.4016999999999999</v>
      </c>
      <c r="I289" s="100">
        <f t="shared" si="119"/>
        <v>8.5673780487804888E-3</v>
      </c>
      <c r="J289" s="94">
        <v>0.24229999999999999</v>
      </c>
      <c r="K289" s="100">
        <f t="shared" si="120"/>
        <v>2.0758757012195122E-3</v>
      </c>
      <c r="L289" s="95">
        <f t="shared" si="121"/>
        <v>0.01</v>
      </c>
      <c r="M289" s="79"/>
      <c r="N289" s="78"/>
      <c r="O289" s="78"/>
      <c r="P289" s="78"/>
      <c r="Q289" s="78"/>
    </row>
    <row r="290" spans="1:17" ht="15" customHeight="1">
      <c r="A290" s="78"/>
      <c r="B290" s="91"/>
      <c r="C290" s="34" t="s">
        <v>723</v>
      </c>
      <c r="D290" s="448" t="s">
        <v>724</v>
      </c>
      <c r="E290" s="449"/>
      <c r="F290" s="34" t="s">
        <v>1196</v>
      </c>
      <c r="G290" s="92">
        <v>6.6277836691410394E-3</v>
      </c>
      <c r="H290" s="93">
        <v>284.30779999999999</v>
      </c>
      <c r="I290" s="100">
        <f t="shared" ref="I290:I303" si="122">G290*H290</f>
        <v>1.8843305938494168</v>
      </c>
      <c r="J290" s="94">
        <v>0.24229999999999999</v>
      </c>
      <c r="K290" s="100">
        <f t="shared" ref="K290:K303" si="123">I290*J290</f>
        <v>0.45657330288971365</v>
      </c>
      <c r="L290" s="95">
        <f t="shared" si="121"/>
        <v>2.34</v>
      </c>
      <c r="M290" s="79"/>
      <c r="N290" s="78"/>
      <c r="O290" s="78"/>
      <c r="P290" s="78"/>
      <c r="Q290" s="78"/>
    </row>
    <row r="291" spans="1:17" ht="15" customHeight="1">
      <c r="A291" s="78"/>
      <c r="B291" s="91"/>
      <c r="C291" s="34" t="s">
        <v>723</v>
      </c>
      <c r="D291" s="448" t="s">
        <v>724</v>
      </c>
      <c r="E291" s="449"/>
      <c r="F291" s="34" t="s">
        <v>1195</v>
      </c>
      <c r="G291" s="92">
        <v>0</v>
      </c>
      <c r="H291" s="93">
        <v>121.7153</v>
      </c>
      <c r="I291" s="100">
        <f t="shared" si="122"/>
        <v>0</v>
      </c>
      <c r="J291" s="94">
        <v>0.24229999999999999</v>
      </c>
      <c r="K291" s="100">
        <f t="shared" si="123"/>
        <v>0</v>
      </c>
      <c r="L291" s="95">
        <f t="shared" si="121"/>
        <v>0</v>
      </c>
      <c r="M291" s="79"/>
      <c r="N291" s="78"/>
      <c r="O291" s="78"/>
      <c r="P291" s="78"/>
      <c r="Q291" s="78"/>
    </row>
    <row r="292" spans="1:17" ht="15" customHeight="1">
      <c r="A292" s="78"/>
      <c r="B292" s="91"/>
      <c r="C292" s="34" t="s">
        <v>725</v>
      </c>
      <c r="D292" s="448" t="s">
        <v>726</v>
      </c>
      <c r="E292" s="449"/>
      <c r="F292" s="34" t="s">
        <v>1196</v>
      </c>
      <c r="G292" s="92">
        <v>5.6998939554612936E-3</v>
      </c>
      <c r="H292" s="93">
        <v>243.82050000000001</v>
      </c>
      <c r="I292" s="100">
        <f t="shared" si="122"/>
        <v>1.3897509941675503</v>
      </c>
      <c r="J292" s="94">
        <v>0.24229999999999999</v>
      </c>
      <c r="K292" s="100">
        <f t="shared" si="123"/>
        <v>0.3367366658867974</v>
      </c>
      <c r="L292" s="95">
        <f t="shared" si="121"/>
        <v>1.73</v>
      </c>
      <c r="M292" s="79"/>
      <c r="N292" s="78"/>
      <c r="O292" s="78"/>
      <c r="P292" s="78"/>
      <c r="Q292" s="78"/>
    </row>
    <row r="293" spans="1:17" ht="15" customHeight="1">
      <c r="A293" s="78"/>
      <c r="B293" s="91"/>
      <c r="C293" s="34" t="s">
        <v>725</v>
      </c>
      <c r="D293" s="448" t="s">
        <v>726</v>
      </c>
      <c r="E293" s="449"/>
      <c r="F293" s="34" t="s">
        <v>1195</v>
      </c>
      <c r="G293" s="92">
        <v>9.2788971367974561E-4</v>
      </c>
      <c r="H293" s="93">
        <v>116.17270000000001</v>
      </c>
      <c r="I293" s="100">
        <f t="shared" si="122"/>
        <v>0.10779545334040298</v>
      </c>
      <c r="J293" s="94">
        <v>0.24229999999999999</v>
      </c>
      <c r="K293" s="100">
        <f t="shared" si="123"/>
        <v>2.6118838344379641E-2</v>
      </c>
      <c r="L293" s="95">
        <f t="shared" si="121"/>
        <v>0.13</v>
      </c>
      <c r="M293" s="79"/>
      <c r="N293" s="78"/>
      <c r="O293" s="78"/>
      <c r="P293" s="78"/>
      <c r="Q293" s="78"/>
    </row>
    <row r="294" spans="1:17" ht="15" customHeight="1">
      <c r="A294" s="78"/>
      <c r="B294" s="91"/>
      <c r="C294" s="34" t="s">
        <v>730</v>
      </c>
      <c r="D294" s="448" t="s">
        <v>734</v>
      </c>
      <c r="E294" s="449"/>
      <c r="F294" s="34" t="s">
        <v>1196</v>
      </c>
      <c r="G294" s="92">
        <v>5.965005302226936E-3</v>
      </c>
      <c r="H294" s="93">
        <v>194.35380000000001</v>
      </c>
      <c r="I294" s="100">
        <f t="shared" si="122"/>
        <v>1.1593214475079534</v>
      </c>
      <c r="J294" s="94">
        <v>0.24229999999999999</v>
      </c>
      <c r="K294" s="100">
        <f t="shared" si="123"/>
        <v>0.2809035867311771</v>
      </c>
      <c r="L294" s="95">
        <f t="shared" si="121"/>
        <v>1.44</v>
      </c>
      <c r="M294" s="79"/>
      <c r="N294" s="78"/>
      <c r="O294" s="78"/>
      <c r="P294" s="78"/>
      <c r="Q294" s="78"/>
    </row>
    <row r="295" spans="1:17" ht="15" customHeight="1">
      <c r="A295" s="78"/>
      <c r="B295" s="91"/>
      <c r="C295" s="34" t="s">
        <v>730</v>
      </c>
      <c r="D295" s="448" t="s">
        <v>734</v>
      </c>
      <c r="E295" s="449"/>
      <c r="F295" s="34" t="s">
        <v>1195</v>
      </c>
      <c r="G295" s="92">
        <v>6.6277836691410396E-4</v>
      </c>
      <c r="H295" s="93">
        <v>82.370699999999999</v>
      </c>
      <c r="I295" s="100">
        <f t="shared" si="122"/>
        <v>5.4593518027571585E-2</v>
      </c>
      <c r="J295" s="94">
        <v>0.24229999999999999</v>
      </c>
      <c r="K295" s="100">
        <f t="shared" si="123"/>
        <v>1.3228009418080595E-2</v>
      </c>
      <c r="L295" s="95">
        <f t="shared" si="121"/>
        <v>7.0000000000000007E-2</v>
      </c>
      <c r="M295" s="79"/>
      <c r="N295" s="78"/>
      <c r="O295" s="78"/>
      <c r="P295" s="78"/>
      <c r="Q295" s="78"/>
    </row>
    <row r="296" spans="1:17" ht="15" customHeight="1">
      <c r="A296" s="78"/>
      <c r="B296" s="91"/>
      <c r="C296" s="34" t="s">
        <v>731</v>
      </c>
      <c r="D296" s="448" t="s">
        <v>735</v>
      </c>
      <c r="E296" s="449"/>
      <c r="F296" s="34" t="s">
        <v>1196</v>
      </c>
      <c r="G296" s="92">
        <v>4.1092258748674443E-3</v>
      </c>
      <c r="H296" s="93">
        <v>125.5069</v>
      </c>
      <c r="I296" s="100">
        <f t="shared" si="122"/>
        <v>0.51573620095440087</v>
      </c>
      <c r="J296" s="94">
        <v>0.24229999999999999</v>
      </c>
      <c r="K296" s="100">
        <f t="shared" si="123"/>
        <v>0.12496288149125133</v>
      </c>
      <c r="L296" s="95">
        <f t="shared" si="121"/>
        <v>0.64</v>
      </c>
      <c r="M296" s="79"/>
      <c r="N296" s="78"/>
      <c r="O296" s="78"/>
      <c r="P296" s="78"/>
      <c r="Q296" s="78"/>
    </row>
    <row r="297" spans="1:17" ht="15" customHeight="1">
      <c r="A297" s="78"/>
      <c r="B297" s="91"/>
      <c r="C297" s="34" t="s">
        <v>731</v>
      </c>
      <c r="D297" s="448" t="s">
        <v>735</v>
      </c>
      <c r="E297" s="449"/>
      <c r="F297" s="34" t="s">
        <v>1195</v>
      </c>
      <c r="G297" s="92">
        <v>2.5185577942735951E-3</v>
      </c>
      <c r="H297" s="93">
        <v>40.086599999999997</v>
      </c>
      <c r="I297" s="100">
        <f t="shared" si="122"/>
        <v>0.1009604188759279</v>
      </c>
      <c r="J297" s="94">
        <v>0.24229999999999999</v>
      </c>
      <c r="K297" s="100">
        <f t="shared" si="123"/>
        <v>2.4462709493637328E-2</v>
      </c>
      <c r="L297" s="95">
        <f t="shared" si="121"/>
        <v>0.13</v>
      </c>
      <c r="M297" s="79"/>
      <c r="N297" s="78"/>
      <c r="O297" s="78"/>
      <c r="P297" s="78"/>
      <c r="Q297" s="78"/>
    </row>
    <row r="298" spans="1:17" ht="15" customHeight="1">
      <c r="A298" s="78"/>
      <c r="B298" s="91"/>
      <c r="C298" s="34" t="s">
        <v>706</v>
      </c>
      <c r="D298" s="448" t="s">
        <v>707</v>
      </c>
      <c r="E298" s="449"/>
      <c r="F298" s="34" t="s">
        <v>855</v>
      </c>
      <c r="G298" s="92">
        <v>3.9766702014846236E-2</v>
      </c>
      <c r="H298" s="93">
        <v>18.4068</v>
      </c>
      <c r="I298" s="100">
        <f t="shared" si="122"/>
        <v>0.73197773064687177</v>
      </c>
      <c r="J298" s="94">
        <v>0.24229999999999999</v>
      </c>
      <c r="K298" s="100">
        <f t="shared" si="123"/>
        <v>0.17735820413573702</v>
      </c>
      <c r="L298" s="95">
        <f t="shared" si="121"/>
        <v>0.91</v>
      </c>
      <c r="M298" s="79"/>
      <c r="N298" s="78"/>
      <c r="O298" s="78"/>
      <c r="P298" s="78"/>
      <c r="Q298" s="78"/>
    </row>
    <row r="299" spans="1:17" ht="15" customHeight="1">
      <c r="A299" s="78"/>
      <c r="B299" s="91"/>
      <c r="C299" s="34" t="s">
        <v>906</v>
      </c>
      <c r="D299" s="448" t="s">
        <v>907</v>
      </c>
      <c r="E299" s="449"/>
      <c r="F299" s="34" t="s">
        <v>849</v>
      </c>
      <c r="G299" s="92">
        <v>144.41</v>
      </c>
      <c r="H299" s="93">
        <v>0.52880000000000005</v>
      </c>
      <c r="I299" s="100">
        <f t="shared" si="122"/>
        <v>76.364007999999998</v>
      </c>
      <c r="J299" s="94">
        <v>0.24229999999999999</v>
      </c>
      <c r="K299" s="100">
        <f t="shared" si="123"/>
        <v>18.5029991384</v>
      </c>
      <c r="L299" s="95">
        <f t="shared" si="121"/>
        <v>94.87</v>
      </c>
      <c r="M299" s="79"/>
      <c r="N299" s="78"/>
      <c r="O299" s="78"/>
      <c r="P299" s="78"/>
      <c r="Q299" s="78"/>
    </row>
    <row r="300" spans="1:17" ht="15" customHeight="1">
      <c r="A300" s="78"/>
      <c r="B300" s="91"/>
      <c r="C300" s="34">
        <v>4016096</v>
      </c>
      <c r="D300" s="448" t="s">
        <v>702</v>
      </c>
      <c r="E300" s="449"/>
      <c r="F300" s="34" t="s">
        <v>800</v>
      </c>
      <c r="G300" s="92">
        <v>1.02325</v>
      </c>
      <c r="H300" s="93">
        <v>1.51</v>
      </c>
      <c r="I300" s="100">
        <f t="shared" si="122"/>
        <v>1.5451075000000001</v>
      </c>
      <c r="J300" s="94">
        <v>0.24229999999999999</v>
      </c>
      <c r="K300" s="100">
        <f t="shared" si="123"/>
        <v>0.37437954725</v>
      </c>
      <c r="L300" s="95">
        <f t="shared" si="121"/>
        <v>1.92</v>
      </c>
      <c r="M300" s="79"/>
      <c r="N300" s="78"/>
      <c r="O300" s="78"/>
      <c r="P300" s="78"/>
      <c r="Q300" s="78"/>
    </row>
    <row r="301" spans="1:17" ht="15" customHeight="1">
      <c r="A301" s="78"/>
      <c r="B301" s="91"/>
      <c r="C301" s="34">
        <v>4016096</v>
      </c>
      <c r="D301" s="448" t="s">
        <v>908</v>
      </c>
      <c r="E301" s="449"/>
      <c r="F301" s="34" t="s">
        <v>856</v>
      </c>
      <c r="G301" s="92">
        <v>1.91859</v>
      </c>
      <c r="H301" s="93">
        <v>1.76</v>
      </c>
      <c r="I301" s="100">
        <f t="shared" si="122"/>
        <v>3.3767184000000001</v>
      </c>
      <c r="J301" s="94">
        <v>0.24229999999999999</v>
      </c>
      <c r="K301" s="100">
        <f t="shared" si="123"/>
        <v>0.81817886831999997</v>
      </c>
      <c r="L301" s="95">
        <f t="shared" si="121"/>
        <v>4.1900000000000004</v>
      </c>
      <c r="M301" s="79"/>
      <c r="N301" s="78"/>
      <c r="O301" s="78"/>
      <c r="P301" s="78"/>
      <c r="Q301" s="78"/>
    </row>
    <row r="302" spans="1:17" ht="15" customHeight="1">
      <c r="A302" s="78"/>
      <c r="B302" s="91"/>
      <c r="C302" s="34" t="s">
        <v>906</v>
      </c>
      <c r="D302" s="448" t="s">
        <v>909</v>
      </c>
      <c r="E302" s="449"/>
      <c r="F302" s="34" t="s">
        <v>856</v>
      </c>
      <c r="G302" s="92">
        <v>0.14441000000000001</v>
      </c>
      <c r="H302" s="93">
        <v>31.5</v>
      </c>
      <c r="I302" s="100">
        <f t="shared" si="122"/>
        <v>4.548915</v>
      </c>
      <c r="J302" s="94">
        <v>0.24229999999999999</v>
      </c>
      <c r="K302" s="100">
        <f t="shared" si="123"/>
        <v>1.1022021044999999</v>
      </c>
      <c r="L302" s="95">
        <f t="shared" si="121"/>
        <v>5.65</v>
      </c>
      <c r="M302" s="79"/>
      <c r="N302" s="78"/>
      <c r="O302" s="78"/>
      <c r="P302" s="78"/>
      <c r="Q302" s="78"/>
    </row>
    <row r="303" spans="1:17" ht="15" customHeight="1">
      <c r="A303" s="78"/>
      <c r="B303" s="91"/>
      <c r="C303" s="34"/>
      <c r="D303" s="448" t="s">
        <v>1197</v>
      </c>
      <c r="E303" s="449"/>
      <c r="F303" s="34" t="s">
        <v>709</v>
      </c>
      <c r="G303" s="92">
        <v>1</v>
      </c>
      <c r="H303" s="93">
        <v>9.9299999999999999E-2</v>
      </c>
      <c r="I303" s="100">
        <f t="shared" si="122"/>
        <v>9.9299999999999999E-2</v>
      </c>
      <c r="J303" s="94">
        <v>0.24229999999999999</v>
      </c>
      <c r="K303" s="100">
        <f t="shared" si="123"/>
        <v>2.4060389999999997E-2</v>
      </c>
      <c r="L303" s="95">
        <f t="shared" si="121"/>
        <v>0.12</v>
      </c>
      <c r="M303" s="79"/>
      <c r="N303" s="78"/>
      <c r="O303" s="78"/>
      <c r="P303" s="78"/>
      <c r="Q303" s="78"/>
    </row>
    <row r="304" spans="1:17" ht="15" customHeight="1">
      <c r="A304" s="78"/>
      <c r="B304" s="447"/>
      <c r="C304" s="364"/>
      <c r="D304" s="364"/>
      <c r="E304" s="364"/>
      <c r="F304" s="364"/>
      <c r="G304" s="364"/>
      <c r="H304" s="364"/>
      <c r="I304" s="364"/>
      <c r="J304" s="365"/>
      <c r="K304" s="96" t="s">
        <v>526</v>
      </c>
      <c r="L304" s="88">
        <f>SUM(L286:L303)</f>
        <v>116.48000000000002</v>
      </c>
      <c r="M304" s="79"/>
      <c r="N304" s="78"/>
      <c r="O304" s="78"/>
      <c r="P304" s="78"/>
      <c r="Q304" s="78"/>
    </row>
    <row r="305" spans="1:17" ht="15" customHeight="1">
      <c r="A305" s="78"/>
      <c r="B305" s="89" t="s">
        <v>1214</v>
      </c>
      <c r="C305" s="89">
        <v>1513940</v>
      </c>
      <c r="D305" s="454" t="s">
        <v>911</v>
      </c>
      <c r="E305" s="455"/>
      <c r="F305" s="455"/>
      <c r="G305" s="455"/>
      <c r="H305" s="455"/>
      <c r="I305" s="455"/>
      <c r="J305" s="455"/>
      <c r="K305" s="455"/>
      <c r="L305" s="455"/>
      <c r="M305" s="79"/>
      <c r="N305" s="78"/>
      <c r="O305" s="78"/>
      <c r="P305" s="78"/>
      <c r="Q305" s="78"/>
    </row>
    <row r="306" spans="1:17" ht="15" customHeight="1">
      <c r="A306" s="78"/>
      <c r="B306" s="91"/>
      <c r="C306" s="34" t="s">
        <v>706</v>
      </c>
      <c r="D306" s="448" t="s">
        <v>707</v>
      </c>
      <c r="E306" s="449"/>
      <c r="F306" s="34" t="s">
        <v>855</v>
      </c>
      <c r="G306" s="92">
        <v>6</v>
      </c>
      <c r="H306" s="93">
        <v>18.4068</v>
      </c>
      <c r="I306" s="100">
        <f t="shared" ref="I306:I312" si="124">G306*H306</f>
        <v>110.4408</v>
      </c>
      <c r="J306" s="94">
        <v>0.24229999999999999</v>
      </c>
      <c r="K306" s="100">
        <f t="shared" ref="K306:K312" si="125">I306*J306</f>
        <v>26.759805839999999</v>
      </c>
      <c r="L306" s="95">
        <f t="shared" ref="L306:L312" si="126">ROUND(I306+K306,2)</f>
        <v>137.19999999999999</v>
      </c>
      <c r="M306" s="79"/>
      <c r="N306" s="78"/>
      <c r="O306" s="78"/>
      <c r="P306" s="78"/>
      <c r="Q306" s="78"/>
    </row>
    <row r="307" spans="1:17" ht="15" customHeight="1">
      <c r="A307" s="78"/>
      <c r="B307" s="91"/>
      <c r="C307" s="34" t="s">
        <v>906</v>
      </c>
      <c r="D307" s="448" t="s">
        <v>907</v>
      </c>
      <c r="E307" s="449"/>
      <c r="F307" s="34" t="s">
        <v>855</v>
      </c>
      <c r="G307" s="92">
        <v>165.04</v>
      </c>
      <c r="H307" s="93">
        <v>0.52880000000000005</v>
      </c>
      <c r="I307" s="100">
        <f t="shared" si="124"/>
        <v>87.27315200000001</v>
      </c>
      <c r="J307" s="94">
        <v>0.24229999999999999</v>
      </c>
      <c r="K307" s="100">
        <f t="shared" si="125"/>
        <v>21.146284729600001</v>
      </c>
      <c r="L307" s="95">
        <f t="shared" si="126"/>
        <v>108.42</v>
      </c>
      <c r="M307" s="79"/>
      <c r="N307" s="78"/>
      <c r="O307" s="78"/>
      <c r="P307" s="78"/>
      <c r="Q307" s="78"/>
    </row>
    <row r="308" spans="1:17" ht="15" customHeight="1">
      <c r="A308" s="78"/>
      <c r="B308" s="91"/>
      <c r="C308" s="34" t="s">
        <v>913</v>
      </c>
      <c r="D308" s="448" t="s">
        <v>914</v>
      </c>
      <c r="E308" s="449"/>
      <c r="F308" s="34" t="s">
        <v>855</v>
      </c>
      <c r="G308" s="92">
        <v>41.26</v>
      </c>
      <c r="H308" s="93">
        <v>2.8532999999999999</v>
      </c>
      <c r="I308" s="100">
        <f t="shared" si="124"/>
        <v>117.72715799999999</v>
      </c>
      <c r="J308" s="94">
        <v>0.24229999999999999</v>
      </c>
      <c r="K308" s="100">
        <f t="shared" si="125"/>
        <v>28.525290383399994</v>
      </c>
      <c r="L308" s="95">
        <f t="shared" si="126"/>
        <v>146.25</v>
      </c>
      <c r="M308" s="79"/>
      <c r="N308" s="78"/>
      <c r="O308" s="78"/>
      <c r="P308" s="78"/>
      <c r="Q308" s="78"/>
    </row>
    <row r="309" spans="1:17" ht="15" customHeight="1">
      <c r="A309" s="78"/>
      <c r="B309" s="91"/>
      <c r="C309" s="34">
        <v>4016096</v>
      </c>
      <c r="D309" s="448" t="s">
        <v>702</v>
      </c>
      <c r="E309" s="449"/>
      <c r="F309" s="34"/>
      <c r="G309" s="92">
        <v>1.0122500000000001</v>
      </c>
      <c r="H309" s="93">
        <v>1.51</v>
      </c>
      <c r="I309" s="100">
        <f t="shared" ref="I309:I310" si="127">G309*H309</f>
        <v>1.5284975000000001</v>
      </c>
      <c r="J309" s="94">
        <v>0.24229999999999999</v>
      </c>
      <c r="K309" s="100">
        <f t="shared" ref="K309:K310" si="128">I309*J309</f>
        <v>0.37035494424999998</v>
      </c>
      <c r="L309" s="95">
        <f t="shared" si="126"/>
        <v>1.9</v>
      </c>
      <c r="M309" s="79"/>
      <c r="N309" s="78"/>
      <c r="O309" s="78"/>
      <c r="P309" s="78"/>
      <c r="Q309" s="78"/>
    </row>
    <row r="310" spans="1:17" ht="15" customHeight="1">
      <c r="A310" s="78"/>
      <c r="B310" s="91"/>
      <c r="C310" s="34">
        <v>4016096</v>
      </c>
      <c r="D310" s="448" t="s">
        <v>908</v>
      </c>
      <c r="E310" s="449"/>
      <c r="F310" s="34" t="s">
        <v>856</v>
      </c>
      <c r="G310" s="92">
        <v>1.8979699999999999</v>
      </c>
      <c r="H310" s="93">
        <v>1.76</v>
      </c>
      <c r="I310" s="100">
        <f t="shared" si="127"/>
        <v>3.3404271999999997</v>
      </c>
      <c r="J310" s="94">
        <v>0.24229999999999999</v>
      </c>
      <c r="K310" s="100">
        <f t="shared" si="128"/>
        <v>0.80938551055999985</v>
      </c>
      <c r="L310" s="95">
        <f t="shared" si="126"/>
        <v>4.1500000000000004</v>
      </c>
      <c r="M310" s="79"/>
      <c r="N310" s="78"/>
      <c r="O310" s="78"/>
      <c r="P310" s="78"/>
      <c r="Q310" s="78"/>
    </row>
    <row r="311" spans="1:17" ht="15" customHeight="1">
      <c r="A311" s="78"/>
      <c r="B311" s="91"/>
      <c r="C311" s="34" t="s">
        <v>906</v>
      </c>
      <c r="D311" s="448" t="s">
        <v>909</v>
      </c>
      <c r="E311" s="449"/>
      <c r="F311" s="34" t="s">
        <v>856</v>
      </c>
      <c r="G311" s="92">
        <v>0.16503999999999999</v>
      </c>
      <c r="H311" s="93">
        <v>31.5</v>
      </c>
      <c r="I311" s="100">
        <f t="shared" si="124"/>
        <v>5.19876</v>
      </c>
      <c r="J311" s="94">
        <v>0.24229999999999999</v>
      </c>
      <c r="K311" s="100">
        <f t="shared" si="125"/>
        <v>1.2596595479999999</v>
      </c>
      <c r="L311" s="95">
        <f t="shared" si="126"/>
        <v>6.46</v>
      </c>
      <c r="M311" s="79"/>
      <c r="N311" s="78"/>
      <c r="O311" s="78"/>
      <c r="P311" s="78"/>
      <c r="Q311" s="78"/>
    </row>
    <row r="312" spans="1:17" ht="15" customHeight="1">
      <c r="A312" s="78"/>
      <c r="B312" s="91"/>
      <c r="C312" s="34" t="s">
        <v>913</v>
      </c>
      <c r="D312" s="448" t="s">
        <v>915</v>
      </c>
      <c r="E312" s="449"/>
      <c r="F312" s="34" t="s">
        <v>856</v>
      </c>
      <c r="G312" s="92">
        <v>2.48E-3</v>
      </c>
      <c r="H312" s="93">
        <v>31.5</v>
      </c>
      <c r="I312" s="100">
        <f t="shared" si="124"/>
        <v>7.8119999999999995E-2</v>
      </c>
      <c r="J312" s="94">
        <v>0.24229999999999999</v>
      </c>
      <c r="K312" s="100">
        <f t="shared" si="125"/>
        <v>1.8928475999999996E-2</v>
      </c>
      <c r="L312" s="95">
        <f t="shared" si="126"/>
        <v>0.1</v>
      </c>
      <c r="M312" s="79"/>
      <c r="N312" s="78"/>
      <c r="O312" s="78"/>
      <c r="P312" s="78"/>
      <c r="Q312" s="78"/>
    </row>
    <row r="313" spans="1:17" ht="15" customHeight="1">
      <c r="A313" s="78"/>
      <c r="B313" s="447"/>
      <c r="C313" s="364"/>
      <c r="D313" s="364"/>
      <c r="E313" s="364"/>
      <c r="F313" s="364"/>
      <c r="G313" s="364"/>
      <c r="H313" s="364"/>
      <c r="I313" s="364"/>
      <c r="J313" s="365"/>
      <c r="K313" s="96" t="s">
        <v>526</v>
      </c>
      <c r="L313" s="88">
        <f>SUM(L306:L312)</f>
        <v>404.47999999999996</v>
      </c>
      <c r="M313" s="79"/>
      <c r="N313" s="78"/>
      <c r="O313" s="78"/>
      <c r="P313" s="78"/>
      <c r="Q313" s="78"/>
    </row>
    <row r="314" spans="1:17" ht="15" customHeight="1">
      <c r="A314" s="78"/>
      <c r="B314" s="89" t="s">
        <v>1215</v>
      </c>
      <c r="C314" s="89" t="s">
        <v>1237</v>
      </c>
      <c r="D314" s="454" t="s">
        <v>1238</v>
      </c>
      <c r="E314" s="455"/>
      <c r="F314" s="455"/>
      <c r="G314" s="455"/>
      <c r="H314" s="455"/>
      <c r="I314" s="455"/>
      <c r="J314" s="455"/>
      <c r="K314" s="455"/>
      <c r="L314" s="455"/>
      <c r="M314" s="79"/>
      <c r="N314" s="78"/>
      <c r="O314" s="78"/>
      <c r="P314" s="78"/>
      <c r="Q314" s="78"/>
    </row>
    <row r="315" spans="1:17" ht="15" customHeight="1">
      <c r="A315" s="78"/>
      <c r="B315" s="91"/>
      <c r="C315" s="34" t="s">
        <v>809</v>
      </c>
      <c r="D315" s="448" t="s">
        <v>813</v>
      </c>
      <c r="E315" s="449"/>
      <c r="F315" s="34" t="s">
        <v>855</v>
      </c>
      <c r="G315" s="92">
        <v>6.6666666666666671E-3</v>
      </c>
      <c r="H315" s="93">
        <v>299.72149999999999</v>
      </c>
      <c r="I315" s="100">
        <f t="shared" ref="I315:I319" si="129">G315*H315</f>
        <v>1.9981433333333334</v>
      </c>
      <c r="J315" s="94">
        <v>0.24229999999999999</v>
      </c>
      <c r="K315" s="100">
        <f t="shared" ref="K315:K319" si="130">I315*J315</f>
        <v>0.48415012966666665</v>
      </c>
      <c r="L315" s="95">
        <f t="shared" ref="L315:L319" si="131">ROUND(I315+K315,2)</f>
        <v>2.48</v>
      </c>
      <c r="M315" s="79"/>
      <c r="N315" s="78"/>
      <c r="O315" s="78"/>
      <c r="P315" s="78"/>
      <c r="Q315" s="78"/>
    </row>
    <row r="316" spans="1:17" ht="15" customHeight="1">
      <c r="A316" s="78"/>
      <c r="B316" s="91"/>
      <c r="C316" s="34" t="s">
        <v>861</v>
      </c>
      <c r="D316" s="448" t="s">
        <v>862</v>
      </c>
      <c r="E316" s="449"/>
      <c r="F316" s="34" t="s">
        <v>855</v>
      </c>
      <c r="G316" s="92">
        <v>1.3333333333333334E-2</v>
      </c>
      <c r="H316" s="93">
        <v>22.195399999999999</v>
      </c>
      <c r="I316" s="100">
        <f t="shared" si="129"/>
        <v>0.29593866666666668</v>
      </c>
      <c r="J316" s="94">
        <v>0.24229999999999999</v>
      </c>
      <c r="K316" s="100">
        <f t="shared" si="130"/>
        <v>7.1705938933333338E-2</v>
      </c>
      <c r="L316" s="95">
        <f t="shared" si="131"/>
        <v>0.37</v>
      </c>
      <c r="M316" s="79"/>
      <c r="N316" s="78"/>
      <c r="O316" s="78"/>
      <c r="P316" s="78"/>
      <c r="Q316" s="78"/>
    </row>
    <row r="317" spans="1:17" ht="15" customHeight="1">
      <c r="A317" s="78"/>
      <c r="B317" s="91"/>
      <c r="C317" s="34" t="s">
        <v>706</v>
      </c>
      <c r="D317" s="448" t="s">
        <v>707</v>
      </c>
      <c r="E317" s="449"/>
      <c r="F317" s="34" t="s">
        <v>855</v>
      </c>
      <c r="G317" s="92">
        <v>2.6666666666666668E-2</v>
      </c>
      <c r="H317" s="93">
        <v>18.4068</v>
      </c>
      <c r="I317" s="100">
        <f t="shared" si="129"/>
        <v>0.49084800000000006</v>
      </c>
      <c r="J317" s="94">
        <v>0.24229999999999999</v>
      </c>
      <c r="K317" s="100">
        <f t="shared" si="130"/>
        <v>0.1189324704</v>
      </c>
      <c r="L317" s="95">
        <f t="shared" si="131"/>
        <v>0.61</v>
      </c>
      <c r="M317" s="79"/>
      <c r="N317" s="78"/>
      <c r="O317" s="78"/>
      <c r="P317" s="78"/>
      <c r="Q317" s="78"/>
    </row>
    <row r="318" spans="1:17" ht="15" customHeight="1">
      <c r="A318" s="78"/>
      <c r="B318" s="91"/>
      <c r="C318" s="34" t="s">
        <v>919</v>
      </c>
      <c r="D318" s="448" t="s">
        <v>920</v>
      </c>
      <c r="E318" s="449"/>
      <c r="F318" s="34" t="s">
        <v>876</v>
      </c>
      <c r="G318" s="92">
        <v>1.01233</v>
      </c>
      <c r="H318" s="93">
        <v>210.19720000000001</v>
      </c>
      <c r="I318" s="100">
        <f t="shared" si="129"/>
        <v>212.78893147599999</v>
      </c>
      <c r="J318" s="94">
        <v>0.24229999999999999</v>
      </c>
      <c r="K318" s="100">
        <f t="shared" si="130"/>
        <v>51.558758096634797</v>
      </c>
      <c r="L318" s="95">
        <f t="shared" si="131"/>
        <v>264.35000000000002</v>
      </c>
      <c r="M318" s="79"/>
      <c r="N318" s="78"/>
      <c r="O318" s="78"/>
      <c r="P318" s="78"/>
      <c r="Q318" s="78"/>
    </row>
    <row r="319" spans="1:17" ht="15" customHeight="1">
      <c r="A319" s="78"/>
      <c r="B319" s="91"/>
      <c r="C319" s="34">
        <v>2003576</v>
      </c>
      <c r="D319" s="448" t="s">
        <v>902</v>
      </c>
      <c r="E319" s="449"/>
      <c r="F319" s="34" t="s">
        <v>800</v>
      </c>
      <c r="G319" s="92">
        <v>0.13950000000000001</v>
      </c>
      <c r="H319" s="93">
        <v>14.21</v>
      </c>
      <c r="I319" s="100">
        <f t="shared" si="129"/>
        <v>1.9822950000000004</v>
      </c>
      <c r="J319" s="94">
        <v>0.24229999999999999</v>
      </c>
      <c r="K319" s="100">
        <f t="shared" si="130"/>
        <v>0.48031007850000007</v>
      </c>
      <c r="L319" s="95">
        <f t="shared" si="131"/>
        <v>2.46</v>
      </c>
      <c r="M319" s="79"/>
      <c r="N319" s="78"/>
      <c r="O319" s="78"/>
      <c r="P319" s="78"/>
      <c r="Q319" s="78"/>
    </row>
    <row r="320" spans="1:17" ht="15" customHeight="1">
      <c r="A320" s="78"/>
      <c r="B320" s="447"/>
      <c r="C320" s="364"/>
      <c r="D320" s="364"/>
      <c r="E320" s="364"/>
      <c r="F320" s="364"/>
      <c r="G320" s="364"/>
      <c r="H320" s="364"/>
      <c r="I320" s="364"/>
      <c r="J320" s="365"/>
      <c r="K320" s="96" t="s">
        <v>526</v>
      </c>
      <c r="L320" s="88">
        <f>SUM(L315:L319)</f>
        <v>270.27</v>
      </c>
      <c r="M320" s="79"/>
      <c r="N320" s="78"/>
      <c r="O320" s="78"/>
      <c r="P320" s="78"/>
      <c r="Q320" s="78"/>
    </row>
    <row r="321" spans="1:17" ht="15" customHeight="1">
      <c r="A321" s="78"/>
      <c r="B321" s="89" t="s">
        <v>1216</v>
      </c>
      <c r="C321" s="89" t="s">
        <v>1239</v>
      </c>
      <c r="D321" s="454" t="s">
        <v>1240</v>
      </c>
      <c r="E321" s="455"/>
      <c r="F321" s="455"/>
      <c r="G321" s="455"/>
      <c r="H321" s="455"/>
      <c r="I321" s="455"/>
      <c r="J321" s="455"/>
      <c r="K321" s="455"/>
      <c r="L321" s="455"/>
      <c r="M321" s="79"/>
      <c r="N321" s="78"/>
      <c r="O321" s="78"/>
      <c r="P321" s="78"/>
      <c r="Q321" s="78"/>
    </row>
    <row r="322" spans="1:17" ht="15" customHeight="1">
      <c r="A322" s="78"/>
      <c r="B322" s="91"/>
      <c r="C322" s="34" t="s">
        <v>809</v>
      </c>
      <c r="D322" s="448" t="s">
        <v>813</v>
      </c>
      <c r="E322" s="449"/>
      <c r="F322" s="34" t="s">
        <v>855</v>
      </c>
      <c r="G322" s="92">
        <v>9.8039215686274508E-3</v>
      </c>
      <c r="H322" s="93">
        <v>299.72149999999999</v>
      </c>
      <c r="I322" s="100">
        <f t="shared" ref="I322:I326" si="132">G322*H322</f>
        <v>2.9384460784313724</v>
      </c>
      <c r="J322" s="94">
        <v>0.24229999999999999</v>
      </c>
      <c r="K322" s="100">
        <f t="shared" ref="K322:K326" si="133">I322*J322</f>
        <v>0.71198548480392154</v>
      </c>
      <c r="L322" s="95">
        <f t="shared" ref="L322:L326" si="134">ROUND(I322+K322,2)</f>
        <v>3.65</v>
      </c>
      <c r="M322" s="79"/>
      <c r="N322" s="78"/>
      <c r="O322" s="78"/>
      <c r="P322" s="78"/>
      <c r="Q322" s="78"/>
    </row>
    <row r="323" spans="1:17" ht="15" customHeight="1">
      <c r="A323" s="78"/>
      <c r="B323" s="91"/>
      <c r="C323" s="34" t="s">
        <v>861</v>
      </c>
      <c r="D323" s="448" t="s">
        <v>862</v>
      </c>
      <c r="E323" s="449"/>
      <c r="F323" s="34" t="s">
        <v>855</v>
      </c>
      <c r="G323" s="92">
        <v>1.9607843137254902E-2</v>
      </c>
      <c r="H323" s="93">
        <v>22.195399999999999</v>
      </c>
      <c r="I323" s="100">
        <f t="shared" si="132"/>
        <v>0.43520392156862742</v>
      </c>
      <c r="J323" s="94">
        <v>0.24229999999999999</v>
      </c>
      <c r="K323" s="100">
        <f t="shared" si="133"/>
        <v>0.10544991019607841</v>
      </c>
      <c r="L323" s="95">
        <f t="shared" si="134"/>
        <v>0.54</v>
      </c>
      <c r="M323" s="79"/>
      <c r="N323" s="78"/>
      <c r="O323" s="78"/>
      <c r="P323" s="78"/>
      <c r="Q323" s="78"/>
    </row>
    <row r="324" spans="1:17" ht="15" customHeight="1">
      <c r="A324" s="78"/>
      <c r="B324" s="91"/>
      <c r="C324" s="34" t="s">
        <v>706</v>
      </c>
      <c r="D324" s="448" t="s">
        <v>707</v>
      </c>
      <c r="E324" s="449"/>
      <c r="F324" s="34" t="s">
        <v>855</v>
      </c>
      <c r="G324" s="92">
        <v>3.9215686274509803E-2</v>
      </c>
      <c r="H324" s="93">
        <v>18.4068</v>
      </c>
      <c r="I324" s="100">
        <f t="shared" si="132"/>
        <v>0.72183529411764702</v>
      </c>
      <c r="J324" s="94">
        <v>0.24229999999999999</v>
      </c>
      <c r="K324" s="100">
        <f t="shared" si="133"/>
        <v>0.17490069176470585</v>
      </c>
      <c r="L324" s="95">
        <f t="shared" si="134"/>
        <v>0.9</v>
      </c>
      <c r="M324" s="79"/>
      <c r="N324" s="78"/>
      <c r="O324" s="78"/>
      <c r="P324" s="78"/>
      <c r="Q324" s="78"/>
    </row>
    <row r="325" spans="1:17" ht="15" customHeight="1">
      <c r="A325" s="78"/>
      <c r="B325" s="91"/>
      <c r="C325" s="34" t="s">
        <v>919</v>
      </c>
      <c r="D325" s="448" t="s">
        <v>920</v>
      </c>
      <c r="E325" s="449"/>
      <c r="F325" s="34" t="s">
        <v>876</v>
      </c>
      <c r="G325" s="92">
        <v>1.016</v>
      </c>
      <c r="H325" s="93">
        <v>503.05549999999999</v>
      </c>
      <c r="I325" s="100">
        <f t="shared" si="132"/>
        <v>511.10438800000003</v>
      </c>
      <c r="J325" s="94">
        <v>0.24229999999999999</v>
      </c>
      <c r="K325" s="100">
        <f t="shared" si="133"/>
        <v>123.84059321239999</v>
      </c>
      <c r="L325" s="95">
        <f t="shared" si="134"/>
        <v>634.94000000000005</v>
      </c>
      <c r="M325" s="79"/>
      <c r="N325" s="78"/>
      <c r="O325" s="78"/>
      <c r="P325" s="78"/>
      <c r="Q325" s="78"/>
    </row>
    <row r="326" spans="1:17" ht="15" customHeight="1">
      <c r="A326" s="78"/>
      <c r="B326" s="91"/>
      <c r="C326" s="34">
        <v>2003576</v>
      </c>
      <c r="D326" s="448" t="s">
        <v>902</v>
      </c>
      <c r="E326" s="449"/>
      <c r="F326" s="34" t="s">
        <v>800</v>
      </c>
      <c r="G326" s="92">
        <v>0.2112</v>
      </c>
      <c r="H326" s="93">
        <v>14.21</v>
      </c>
      <c r="I326" s="100">
        <f t="shared" si="132"/>
        <v>3.0011520000000003</v>
      </c>
      <c r="J326" s="94">
        <v>0.24229999999999999</v>
      </c>
      <c r="K326" s="100">
        <f t="shared" si="133"/>
        <v>0.72717912959999997</v>
      </c>
      <c r="L326" s="95">
        <f t="shared" si="134"/>
        <v>3.73</v>
      </c>
      <c r="M326" s="79"/>
      <c r="N326" s="78"/>
      <c r="O326" s="78"/>
      <c r="P326" s="78"/>
      <c r="Q326" s="78"/>
    </row>
    <row r="327" spans="1:17" ht="15" customHeight="1">
      <c r="A327" s="78"/>
      <c r="B327" s="447"/>
      <c r="C327" s="364"/>
      <c r="D327" s="364"/>
      <c r="E327" s="364"/>
      <c r="F327" s="364"/>
      <c r="G327" s="364"/>
      <c r="H327" s="364"/>
      <c r="I327" s="364"/>
      <c r="J327" s="365"/>
      <c r="K327" s="96" t="s">
        <v>526</v>
      </c>
      <c r="L327" s="88">
        <f>SUM(L322:L326)</f>
        <v>643.7600000000001</v>
      </c>
      <c r="M327" s="79"/>
      <c r="N327" s="78"/>
      <c r="O327" s="78"/>
      <c r="P327" s="78"/>
      <c r="Q327" s="78"/>
    </row>
    <row r="328" spans="1:17" ht="15" customHeight="1">
      <c r="A328" s="78"/>
      <c r="B328" s="89" t="s">
        <v>1217</v>
      </c>
      <c r="C328" s="89">
        <v>2003992</v>
      </c>
      <c r="D328" s="454" t="s">
        <v>917</v>
      </c>
      <c r="E328" s="455"/>
      <c r="F328" s="455"/>
      <c r="G328" s="455"/>
      <c r="H328" s="455"/>
      <c r="I328" s="455"/>
      <c r="J328" s="455" t="s">
        <v>899</v>
      </c>
      <c r="K328" s="455"/>
      <c r="L328" s="455"/>
      <c r="M328" s="79"/>
      <c r="N328" s="78"/>
      <c r="O328" s="78"/>
      <c r="P328" s="78"/>
      <c r="Q328" s="78"/>
    </row>
    <row r="329" spans="1:17" ht="15" customHeight="1">
      <c r="A329" s="78"/>
      <c r="B329" s="91"/>
      <c r="C329" s="34" t="s">
        <v>809</v>
      </c>
      <c r="D329" s="448" t="s">
        <v>813</v>
      </c>
      <c r="E329" s="449"/>
      <c r="F329" s="34" t="s">
        <v>855</v>
      </c>
      <c r="G329" s="92">
        <v>1.4705882352941176E-2</v>
      </c>
      <c r="H329" s="93">
        <v>299.72149999999999</v>
      </c>
      <c r="I329" s="100">
        <f t="shared" ref="I329:I333" si="135">G329*H329</f>
        <v>4.4076691176470586</v>
      </c>
      <c r="J329" s="94">
        <v>0.24229999999999999</v>
      </c>
      <c r="K329" s="100">
        <f t="shared" ref="K329:K333" si="136">I329*J329</f>
        <v>1.0679782272058822</v>
      </c>
      <c r="L329" s="95">
        <f t="shared" ref="L329:L333" si="137">ROUND(I329+K329,2)</f>
        <v>5.48</v>
      </c>
      <c r="M329" s="79"/>
      <c r="N329" s="78"/>
      <c r="O329" s="78"/>
      <c r="P329" s="78"/>
      <c r="Q329" s="78"/>
    </row>
    <row r="330" spans="1:17" ht="15" customHeight="1">
      <c r="A330" s="78"/>
      <c r="B330" s="91"/>
      <c r="C330" s="34" t="s">
        <v>861</v>
      </c>
      <c r="D330" s="448" t="s">
        <v>862</v>
      </c>
      <c r="E330" s="449"/>
      <c r="F330" s="34" t="s">
        <v>855</v>
      </c>
      <c r="G330" s="92">
        <v>2.9411764705882353E-2</v>
      </c>
      <c r="H330" s="93">
        <v>22.195399999999999</v>
      </c>
      <c r="I330" s="100">
        <f t="shared" si="135"/>
        <v>0.65280588235294112</v>
      </c>
      <c r="J330" s="94">
        <v>0.24229999999999999</v>
      </c>
      <c r="K330" s="100">
        <f t="shared" si="136"/>
        <v>0.15817486529411762</v>
      </c>
      <c r="L330" s="95">
        <f t="shared" si="137"/>
        <v>0.81</v>
      </c>
      <c r="M330" s="79"/>
      <c r="N330" s="78"/>
      <c r="O330" s="78"/>
      <c r="P330" s="78"/>
      <c r="Q330" s="78"/>
    </row>
    <row r="331" spans="1:17" ht="15" customHeight="1">
      <c r="A331" s="78"/>
      <c r="B331" s="91"/>
      <c r="C331" s="34" t="s">
        <v>706</v>
      </c>
      <c r="D331" s="448" t="s">
        <v>707</v>
      </c>
      <c r="E331" s="449"/>
      <c r="F331" s="34" t="s">
        <v>855</v>
      </c>
      <c r="G331" s="92">
        <v>8.8235294117647065E-2</v>
      </c>
      <c r="H331" s="93">
        <v>18.4068</v>
      </c>
      <c r="I331" s="100">
        <f t="shared" si="135"/>
        <v>1.624129411764706</v>
      </c>
      <c r="J331" s="94">
        <v>0.24229999999999999</v>
      </c>
      <c r="K331" s="100">
        <f t="shared" si="136"/>
        <v>0.39352655647058826</v>
      </c>
      <c r="L331" s="95">
        <f t="shared" si="137"/>
        <v>2.02</v>
      </c>
      <c r="M331" s="79"/>
      <c r="N331" s="78"/>
      <c r="O331" s="78"/>
      <c r="P331" s="78"/>
      <c r="Q331" s="78"/>
    </row>
    <row r="332" spans="1:17" ht="15" customHeight="1">
      <c r="A332" s="78"/>
      <c r="B332" s="91"/>
      <c r="C332" s="34" t="s">
        <v>919</v>
      </c>
      <c r="D332" s="448" t="s">
        <v>920</v>
      </c>
      <c r="E332" s="449"/>
      <c r="F332" s="34" t="s">
        <v>876</v>
      </c>
      <c r="G332" s="92">
        <v>1.0269999999999999</v>
      </c>
      <c r="H332" s="93">
        <v>1741.0434</v>
      </c>
      <c r="I332" s="100">
        <f t="shared" si="135"/>
        <v>1788.0515717999999</v>
      </c>
      <c r="J332" s="94">
        <v>0.24229999999999999</v>
      </c>
      <c r="K332" s="100">
        <f t="shared" si="136"/>
        <v>433.24489584713996</v>
      </c>
      <c r="L332" s="95">
        <f t="shared" si="137"/>
        <v>2221.3000000000002</v>
      </c>
      <c r="M332" s="79"/>
      <c r="N332" s="78"/>
      <c r="O332" s="78"/>
      <c r="P332" s="78"/>
      <c r="Q332" s="78"/>
    </row>
    <row r="333" spans="1:17" ht="15" customHeight="1">
      <c r="A333" s="78"/>
      <c r="B333" s="91"/>
      <c r="C333" s="34">
        <v>2003576</v>
      </c>
      <c r="D333" s="448" t="s">
        <v>902</v>
      </c>
      <c r="E333" s="449"/>
      <c r="F333" s="34" t="s">
        <v>856</v>
      </c>
      <c r="G333" s="92">
        <v>0.41610000000000003</v>
      </c>
      <c r="H333" s="93">
        <v>14.21</v>
      </c>
      <c r="I333" s="100">
        <f t="shared" si="135"/>
        <v>5.9127810000000007</v>
      </c>
      <c r="J333" s="94">
        <v>0.24229999999999999</v>
      </c>
      <c r="K333" s="100">
        <f t="shared" si="136"/>
        <v>1.4326668363000001</v>
      </c>
      <c r="L333" s="95">
        <f t="shared" si="137"/>
        <v>7.35</v>
      </c>
      <c r="M333" s="79"/>
      <c r="N333" s="78"/>
      <c r="O333" s="78"/>
      <c r="P333" s="78"/>
      <c r="Q333" s="78"/>
    </row>
    <row r="334" spans="1:17" ht="15" customHeight="1">
      <c r="A334" s="78"/>
      <c r="B334" s="447"/>
      <c r="C334" s="364"/>
      <c r="D334" s="364"/>
      <c r="E334" s="364"/>
      <c r="F334" s="364"/>
      <c r="G334" s="364"/>
      <c r="H334" s="364"/>
      <c r="I334" s="364"/>
      <c r="J334" s="365"/>
      <c r="K334" s="96" t="s">
        <v>526</v>
      </c>
      <c r="L334" s="88">
        <f>SUM(L329:L333)</f>
        <v>2236.96</v>
      </c>
      <c r="M334" s="79"/>
      <c r="N334" s="78"/>
      <c r="O334" s="78"/>
      <c r="P334" s="78"/>
      <c r="Q334" s="78"/>
    </row>
    <row r="335" spans="1:17" ht="15" customHeight="1">
      <c r="A335" s="78"/>
      <c r="B335" s="89" t="s">
        <v>1235</v>
      </c>
      <c r="C335" s="89">
        <v>4413014</v>
      </c>
      <c r="D335" s="454" t="s">
        <v>922</v>
      </c>
      <c r="E335" s="455"/>
      <c r="F335" s="455"/>
      <c r="G335" s="455"/>
      <c r="H335" s="455"/>
      <c r="I335" s="455"/>
      <c r="J335" s="455" t="s">
        <v>899</v>
      </c>
      <c r="K335" s="455"/>
      <c r="L335" s="455"/>
      <c r="M335" s="79"/>
      <c r="N335" s="78"/>
      <c r="O335" s="78"/>
      <c r="P335" s="78"/>
      <c r="Q335" s="78"/>
    </row>
    <row r="336" spans="1:17" ht="15" customHeight="1">
      <c r="A336" s="78"/>
      <c r="B336" s="91"/>
      <c r="C336" s="34" t="s">
        <v>706</v>
      </c>
      <c r="D336" s="448" t="s">
        <v>707</v>
      </c>
      <c r="E336" s="449"/>
      <c r="F336" s="34" t="s">
        <v>855</v>
      </c>
      <c r="G336" s="92">
        <v>0.33333333333333331</v>
      </c>
      <c r="H336" s="93">
        <v>18.4068</v>
      </c>
      <c r="I336" s="100">
        <f t="shared" ref="I336:I340" si="138">G336*H336</f>
        <v>6.1356000000000002</v>
      </c>
      <c r="J336" s="94">
        <v>0.24229999999999999</v>
      </c>
      <c r="K336" s="100">
        <f t="shared" ref="K336:K340" si="139">I336*J336</f>
        <v>1.48665588</v>
      </c>
      <c r="L336" s="95">
        <f t="shared" ref="L336:L340" si="140">ROUND(I336+K336,2)</f>
        <v>7.62</v>
      </c>
      <c r="M336" s="79"/>
      <c r="N336" s="78"/>
      <c r="O336" s="78"/>
      <c r="P336" s="78"/>
      <c r="Q336" s="78"/>
    </row>
    <row r="337" spans="1:17" ht="15" customHeight="1">
      <c r="A337" s="78"/>
      <c r="B337" s="91"/>
      <c r="C337" s="34" t="s">
        <v>924</v>
      </c>
      <c r="D337" s="448" t="s">
        <v>925</v>
      </c>
      <c r="E337" s="449"/>
      <c r="F337" s="34" t="s">
        <v>799</v>
      </c>
      <c r="G337" s="92">
        <v>1</v>
      </c>
      <c r="H337" s="93">
        <v>6.5</v>
      </c>
      <c r="I337" s="100">
        <f t="shared" si="138"/>
        <v>6.5</v>
      </c>
      <c r="J337" s="94">
        <v>0.24229999999999999</v>
      </c>
      <c r="K337" s="100">
        <f t="shared" si="139"/>
        <v>1.5749499999999999</v>
      </c>
      <c r="L337" s="95">
        <f t="shared" si="140"/>
        <v>8.07</v>
      </c>
      <c r="M337" s="79"/>
      <c r="N337" s="78"/>
      <c r="O337" s="78"/>
      <c r="P337" s="78"/>
      <c r="Q337" s="78"/>
    </row>
    <row r="338" spans="1:17" ht="15" customHeight="1">
      <c r="A338" s="78"/>
      <c r="B338" s="91"/>
      <c r="C338" s="34" t="s">
        <v>926</v>
      </c>
      <c r="D338" s="448" t="s">
        <v>927</v>
      </c>
      <c r="E338" s="449"/>
      <c r="F338" s="34" t="s">
        <v>849</v>
      </c>
      <c r="G338" s="92">
        <v>0.39200000000000002</v>
      </c>
      <c r="H338" s="93">
        <v>8.8495000000000008</v>
      </c>
      <c r="I338" s="100">
        <f t="shared" si="138"/>
        <v>3.4690040000000004</v>
      </c>
      <c r="J338" s="94">
        <v>0.24229999999999999</v>
      </c>
      <c r="K338" s="100">
        <f t="shared" si="139"/>
        <v>0.84053966920000001</v>
      </c>
      <c r="L338" s="95">
        <f t="shared" si="140"/>
        <v>4.3099999999999996</v>
      </c>
      <c r="M338" s="79"/>
      <c r="N338" s="78"/>
      <c r="O338" s="78"/>
      <c r="P338" s="78"/>
      <c r="Q338" s="78"/>
    </row>
    <row r="339" spans="1:17" ht="15" customHeight="1">
      <c r="A339" s="78"/>
      <c r="B339" s="91"/>
      <c r="C339" s="34" t="s">
        <v>924</v>
      </c>
      <c r="D339" s="448" t="s">
        <v>928</v>
      </c>
      <c r="E339" s="449"/>
      <c r="F339" s="34" t="s">
        <v>856</v>
      </c>
      <c r="G339" s="92">
        <v>4.0000000000000002E-4</v>
      </c>
      <c r="H339" s="93">
        <v>31.5</v>
      </c>
      <c r="I339" s="100">
        <f t="shared" si="138"/>
        <v>1.26E-2</v>
      </c>
      <c r="J339" s="94">
        <v>0.24229999999999999</v>
      </c>
      <c r="K339" s="100">
        <f t="shared" si="139"/>
        <v>3.0529799999999998E-3</v>
      </c>
      <c r="L339" s="95">
        <f t="shared" si="140"/>
        <v>0.02</v>
      </c>
      <c r="M339" s="79"/>
      <c r="N339" s="78"/>
      <c r="O339" s="78"/>
      <c r="P339" s="78"/>
      <c r="Q339" s="78"/>
    </row>
    <row r="340" spans="1:17" ht="15" customHeight="1">
      <c r="A340" s="78"/>
      <c r="B340" s="91"/>
      <c r="C340" s="34" t="s">
        <v>926</v>
      </c>
      <c r="D340" s="448" t="s">
        <v>929</v>
      </c>
      <c r="E340" s="449"/>
      <c r="F340" s="34" t="s">
        <v>856</v>
      </c>
      <c r="G340" s="92">
        <v>3.8999999999999999E-4</v>
      </c>
      <c r="H340" s="93">
        <v>31.5</v>
      </c>
      <c r="I340" s="100">
        <f t="shared" si="138"/>
        <v>1.2284999999999999E-2</v>
      </c>
      <c r="J340" s="94">
        <v>0.24229999999999999</v>
      </c>
      <c r="K340" s="100">
        <f t="shared" si="139"/>
        <v>2.9766554999999997E-3</v>
      </c>
      <c r="L340" s="95">
        <f t="shared" si="140"/>
        <v>0.02</v>
      </c>
      <c r="M340" s="79"/>
      <c r="N340" s="78"/>
      <c r="O340" s="78"/>
      <c r="P340" s="78"/>
      <c r="Q340" s="78"/>
    </row>
    <row r="341" spans="1:17" ht="15" customHeight="1">
      <c r="A341" s="78"/>
      <c r="B341" s="447"/>
      <c r="C341" s="364"/>
      <c r="D341" s="364"/>
      <c r="E341" s="364"/>
      <c r="F341" s="364"/>
      <c r="G341" s="364"/>
      <c r="H341" s="364"/>
      <c r="I341" s="364"/>
      <c r="J341" s="365"/>
      <c r="K341" s="96" t="s">
        <v>526</v>
      </c>
      <c r="L341" s="88">
        <f>SUM(L336:L340)</f>
        <v>20.04</v>
      </c>
      <c r="M341" s="79"/>
      <c r="N341" s="78"/>
      <c r="O341" s="78"/>
      <c r="P341" s="78"/>
      <c r="Q341" s="78"/>
    </row>
    <row r="342" spans="1:17" ht="15" customHeight="1">
      <c r="A342" s="78"/>
      <c r="B342" s="89" t="s">
        <v>1236</v>
      </c>
      <c r="C342" s="89">
        <v>4011347</v>
      </c>
      <c r="D342" s="454" t="s">
        <v>931</v>
      </c>
      <c r="E342" s="455"/>
      <c r="F342" s="455"/>
      <c r="G342" s="455"/>
      <c r="H342" s="455"/>
      <c r="I342" s="455"/>
      <c r="J342" s="455" t="s">
        <v>899</v>
      </c>
      <c r="K342" s="455"/>
      <c r="L342" s="455"/>
      <c r="M342" s="79"/>
      <c r="N342" s="78"/>
      <c r="O342" s="78"/>
      <c r="P342" s="78"/>
      <c r="Q342" s="78"/>
    </row>
    <row r="343" spans="1:17" ht="15" customHeight="1">
      <c r="A343" s="78"/>
      <c r="B343" s="91"/>
      <c r="C343" s="34" t="s">
        <v>933</v>
      </c>
      <c r="D343" s="448" t="s">
        <v>934</v>
      </c>
      <c r="E343" s="449"/>
      <c r="F343" s="34" t="s">
        <v>1196</v>
      </c>
      <c r="G343" s="92">
        <v>7.4000000000000003E-3</v>
      </c>
      <c r="H343" s="93">
        <v>432.15690000000001</v>
      </c>
      <c r="I343" s="100">
        <f t="shared" ref="I343:I345" si="141">G343*H343</f>
        <v>3.1979610600000004</v>
      </c>
      <c r="J343" s="94">
        <v>0.24229999999999999</v>
      </c>
      <c r="K343" s="100">
        <f t="shared" ref="K343:K345" si="142">I343*J343</f>
        <v>0.77486596483800008</v>
      </c>
      <c r="L343" s="95">
        <f t="shared" ref="L343:L358" si="143">ROUND(I343+K343,2)</f>
        <v>3.97</v>
      </c>
      <c r="M343" s="79"/>
      <c r="N343" s="78"/>
      <c r="O343" s="78"/>
      <c r="P343" s="78"/>
      <c r="Q343" s="78"/>
    </row>
    <row r="344" spans="1:17" ht="15" customHeight="1">
      <c r="A344" s="78"/>
      <c r="B344" s="91"/>
      <c r="C344" s="34" t="s">
        <v>933</v>
      </c>
      <c r="D344" s="448" t="s">
        <v>934</v>
      </c>
      <c r="E344" s="449"/>
      <c r="F344" s="34" t="s">
        <v>1195</v>
      </c>
      <c r="G344" s="92">
        <v>5.6894243641231598E-3</v>
      </c>
      <c r="H344" s="93">
        <v>125.7072</v>
      </c>
      <c r="I344" s="100">
        <f t="shared" si="141"/>
        <v>0.71520160642570285</v>
      </c>
      <c r="J344" s="94">
        <v>0.24229999999999999</v>
      </c>
      <c r="K344" s="100">
        <f t="shared" si="142"/>
        <v>0.17329334923694778</v>
      </c>
      <c r="L344" s="95">
        <f t="shared" si="143"/>
        <v>0.89</v>
      </c>
      <c r="M344" s="79"/>
      <c r="N344" s="78"/>
      <c r="O344" s="78"/>
      <c r="P344" s="78"/>
      <c r="Q344" s="78"/>
    </row>
    <row r="345" spans="1:17" ht="15" customHeight="1">
      <c r="A345" s="78"/>
      <c r="B345" s="91"/>
      <c r="C345" s="34" t="s">
        <v>728</v>
      </c>
      <c r="D345" s="448" t="s">
        <v>732</v>
      </c>
      <c r="E345" s="449"/>
      <c r="F345" s="34" t="s">
        <v>1196</v>
      </c>
      <c r="G345" s="92">
        <v>5.6894243641231598E-3</v>
      </c>
      <c r="H345" s="93">
        <v>321.80119999999999</v>
      </c>
      <c r="I345" s="100">
        <f t="shared" si="141"/>
        <v>1.8308635876840698</v>
      </c>
      <c r="J345" s="94">
        <v>0.24229999999999999</v>
      </c>
      <c r="K345" s="100">
        <f t="shared" si="142"/>
        <v>0.44361824729585009</v>
      </c>
      <c r="L345" s="95">
        <f t="shared" si="143"/>
        <v>2.27</v>
      </c>
      <c r="M345" s="79"/>
      <c r="N345" s="78"/>
      <c r="O345" s="78"/>
      <c r="P345" s="78"/>
      <c r="Q345" s="78"/>
    </row>
    <row r="346" spans="1:17" ht="15" customHeight="1">
      <c r="A346" s="78"/>
      <c r="B346" s="91"/>
      <c r="C346" s="34" t="s">
        <v>728</v>
      </c>
      <c r="D346" s="448" t="s">
        <v>732</v>
      </c>
      <c r="E346" s="449"/>
      <c r="F346" s="34" t="s">
        <v>1195</v>
      </c>
      <c r="G346" s="92">
        <v>2.6773761713520753E-3</v>
      </c>
      <c r="H346" s="93">
        <v>80.150199999999998</v>
      </c>
      <c r="I346" s="100">
        <f t="shared" ref="I346:I358" si="144">G346*H346</f>
        <v>0.21459223560910309</v>
      </c>
      <c r="J346" s="94">
        <v>0.24229999999999999</v>
      </c>
      <c r="K346" s="100">
        <f t="shared" ref="K346:K358" si="145">I346*J346</f>
        <v>5.1995698688085679E-2</v>
      </c>
      <c r="L346" s="95">
        <f t="shared" si="143"/>
        <v>0.27</v>
      </c>
      <c r="M346" s="79"/>
      <c r="N346" s="78"/>
      <c r="O346" s="78"/>
      <c r="P346" s="78"/>
      <c r="Q346" s="78"/>
    </row>
    <row r="347" spans="1:17" ht="15" customHeight="1">
      <c r="A347" s="78"/>
      <c r="B347" s="91"/>
      <c r="C347" s="34" t="s">
        <v>935</v>
      </c>
      <c r="D347" s="448" t="s">
        <v>936</v>
      </c>
      <c r="E347" s="449"/>
      <c r="F347" s="34" t="s">
        <v>1196</v>
      </c>
      <c r="G347" s="92">
        <v>8.3668005354752342E-3</v>
      </c>
      <c r="H347" s="93">
        <v>1318.3984</v>
      </c>
      <c r="I347" s="100">
        <f t="shared" si="144"/>
        <v>11.030776439089692</v>
      </c>
      <c r="J347" s="94">
        <v>0.24229999999999999</v>
      </c>
      <c r="K347" s="100">
        <f t="shared" si="145"/>
        <v>2.6727571311914322</v>
      </c>
      <c r="L347" s="95">
        <f t="shared" si="143"/>
        <v>13.7</v>
      </c>
      <c r="M347" s="79"/>
      <c r="N347" s="78"/>
      <c r="O347" s="78"/>
      <c r="P347" s="78"/>
      <c r="Q347" s="78"/>
    </row>
    <row r="348" spans="1:17" ht="15" customHeight="1">
      <c r="A348" s="78"/>
      <c r="B348" s="91"/>
      <c r="C348" s="34" t="s">
        <v>935</v>
      </c>
      <c r="D348" s="448" t="s">
        <v>936</v>
      </c>
      <c r="E348" s="449"/>
      <c r="F348" s="34" t="s">
        <v>1195</v>
      </c>
      <c r="G348" s="92">
        <v>0</v>
      </c>
      <c r="H348" s="93">
        <v>420.065</v>
      </c>
      <c r="I348" s="100">
        <f t="shared" si="144"/>
        <v>0</v>
      </c>
      <c r="J348" s="94">
        <v>0.24229999999999999</v>
      </c>
      <c r="K348" s="100">
        <f t="shared" si="145"/>
        <v>0</v>
      </c>
      <c r="L348" s="95">
        <f t="shared" si="143"/>
        <v>0</v>
      </c>
      <c r="M348" s="79"/>
      <c r="N348" s="78"/>
      <c r="O348" s="78"/>
      <c r="P348" s="78"/>
      <c r="Q348" s="78"/>
    </row>
    <row r="349" spans="1:17" ht="15" customHeight="1">
      <c r="A349" s="78"/>
      <c r="B349" s="91"/>
      <c r="C349" s="34" t="s">
        <v>725</v>
      </c>
      <c r="D349" s="448" t="s">
        <v>726</v>
      </c>
      <c r="E349" s="449"/>
      <c r="F349" s="34" t="s">
        <v>1196</v>
      </c>
      <c r="G349" s="92">
        <v>5.6894243641231598E-3</v>
      </c>
      <c r="H349" s="93">
        <v>243.82050000000001</v>
      </c>
      <c r="I349" s="100">
        <f t="shared" si="144"/>
        <v>1.3871982931726909</v>
      </c>
      <c r="J349" s="94">
        <v>0.24229999999999999</v>
      </c>
      <c r="K349" s="100">
        <f t="shared" si="145"/>
        <v>0.336118146435743</v>
      </c>
      <c r="L349" s="95">
        <f t="shared" si="143"/>
        <v>1.72</v>
      </c>
      <c r="M349" s="79"/>
      <c r="N349" s="78"/>
      <c r="O349" s="78"/>
      <c r="P349" s="78"/>
      <c r="Q349" s="78"/>
    </row>
    <row r="350" spans="1:17" ht="15" customHeight="1">
      <c r="A350" s="78"/>
      <c r="B350" s="91"/>
      <c r="C350" s="34" t="s">
        <v>725</v>
      </c>
      <c r="D350" s="448" t="s">
        <v>726</v>
      </c>
      <c r="E350" s="449"/>
      <c r="F350" s="34" t="s">
        <v>1195</v>
      </c>
      <c r="G350" s="92">
        <v>2.6773761713520753E-3</v>
      </c>
      <c r="H350" s="93">
        <v>116.17270000000001</v>
      </c>
      <c r="I350" s="100">
        <f t="shared" si="144"/>
        <v>0.31103801874163328</v>
      </c>
      <c r="J350" s="94">
        <v>0.24229999999999999</v>
      </c>
      <c r="K350" s="100">
        <f t="shared" si="145"/>
        <v>7.5364511941097737E-2</v>
      </c>
      <c r="L350" s="95">
        <f t="shared" si="143"/>
        <v>0.39</v>
      </c>
      <c r="M350" s="79"/>
      <c r="N350" s="78"/>
      <c r="O350" s="78"/>
      <c r="P350" s="78"/>
      <c r="Q350" s="78"/>
    </row>
    <row r="351" spans="1:17" ht="15" customHeight="1">
      <c r="A351" s="78"/>
      <c r="B351" s="91"/>
      <c r="C351" s="34" t="s">
        <v>730</v>
      </c>
      <c r="D351" s="448" t="s">
        <v>734</v>
      </c>
      <c r="E351" s="449"/>
      <c r="F351" s="34" t="s">
        <v>1196</v>
      </c>
      <c r="G351" s="92">
        <v>5.9404283801874165E-3</v>
      </c>
      <c r="H351" s="93">
        <v>194.35380000000001</v>
      </c>
      <c r="I351" s="100">
        <f t="shared" si="144"/>
        <v>1.1545448293172691</v>
      </c>
      <c r="J351" s="94">
        <v>0.24229999999999999</v>
      </c>
      <c r="K351" s="100">
        <f t="shared" si="145"/>
        <v>0.27974621214357431</v>
      </c>
      <c r="L351" s="95">
        <f t="shared" si="143"/>
        <v>1.43</v>
      </c>
      <c r="M351" s="79"/>
      <c r="N351" s="78"/>
      <c r="O351" s="78"/>
      <c r="P351" s="78"/>
      <c r="Q351" s="78"/>
    </row>
    <row r="352" spans="1:17" ht="15" customHeight="1">
      <c r="A352" s="78"/>
      <c r="B352" s="91"/>
      <c r="C352" s="34" t="s">
        <v>730</v>
      </c>
      <c r="D352" s="448" t="s">
        <v>734</v>
      </c>
      <c r="E352" s="449"/>
      <c r="F352" s="34" t="s">
        <v>1195</v>
      </c>
      <c r="G352" s="92">
        <v>2.4263721552878178E-3</v>
      </c>
      <c r="H352" s="93">
        <v>82.370699999999999</v>
      </c>
      <c r="I352" s="100">
        <f t="shared" si="144"/>
        <v>0.19986197289156624</v>
      </c>
      <c r="J352" s="94">
        <v>0.24229999999999999</v>
      </c>
      <c r="K352" s="100">
        <f t="shared" si="145"/>
        <v>4.8426556031626496E-2</v>
      </c>
      <c r="L352" s="95">
        <f t="shared" si="143"/>
        <v>0.25</v>
      </c>
      <c r="M352" s="79"/>
      <c r="N352" s="78"/>
      <c r="O352" s="78"/>
      <c r="P352" s="78"/>
      <c r="Q352" s="78"/>
    </row>
    <row r="353" spans="1:17" ht="15" customHeight="1">
      <c r="A353" s="78"/>
      <c r="B353" s="91"/>
      <c r="C353" s="34" t="s">
        <v>706</v>
      </c>
      <c r="D353" s="448" t="s">
        <v>707</v>
      </c>
      <c r="E353" s="449"/>
      <c r="F353" s="34" t="s">
        <v>855</v>
      </c>
      <c r="G353" s="92">
        <v>2.5100401606425703E-2</v>
      </c>
      <c r="H353" s="93">
        <v>18.4068</v>
      </c>
      <c r="I353" s="100">
        <f t="shared" si="144"/>
        <v>0.46201807228915664</v>
      </c>
      <c r="J353" s="94">
        <v>0.24229999999999999</v>
      </c>
      <c r="K353" s="100">
        <f t="shared" si="145"/>
        <v>0.11194697891566265</v>
      </c>
      <c r="L353" s="95">
        <f t="shared" si="143"/>
        <v>0.56999999999999995</v>
      </c>
      <c r="M353" s="79"/>
      <c r="N353" s="78"/>
      <c r="O353" s="78"/>
      <c r="P353" s="78"/>
      <c r="Q353" s="78"/>
    </row>
    <row r="354" spans="1:17" ht="15" customHeight="1">
      <c r="A354" s="78"/>
      <c r="B354" s="91"/>
      <c r="C354" s="34" t="s">
        <v>937</v>
      </c>
      <c r="D354" s="448" t="s">
        <v>938</v>
      </c>
      <c r="E354" s="449"/>
      <c r="F354" s="34" t="s">
        <v>849</v>
      </c>
      <c r="G354" s="92">
        <v>61.89</v>
      </c>
      <c r="H354" s="93">
        <v>0.49980000000000002</v>
      </c>
      <c r="I354" s="100">
        <f t="shared" si="144"/>
        <v>30.932622000000002</v>
      </c>
      <c r="J354" s="94">
        <v>0.24229999999999999</v>
      </c>
      <c r="K354" s="100">
        <f t="shared" si="145"/>
        <v>7.4949743106</v>
      </c>
      <c r="L354" s="95">
        <f t="shared" si="143"/>
        <v>38.43</v>
      </c>
      <c r="M354" s="79"/>
      <c r="N354" s="78"/>
      <c r="O354" s="78"/>
      <c r="P354" s="78"/>
      <c r="Q354" s="78"/>
    </row>
    <row r="355" spans="1:17" ht="15" customHeight="1">
      <c r="A355" s="78"/>
      <c r="B355" s="91"/>
      <c r="C355" s="34" t="s">
        <v>939</v>
      </c>
      <c r="D355" s="448" t="s">
        <v>940</v>
      </c>
      <c r="E355" s="449"/>
      <c r="F355" s="34" t="s">
        <v>709</v>
      </c>
      <c r="G355" s="92">
        <v>4.7500000000000001E-2</v>
      </c>
      <c r="H355" s="93">
        <v>54.167299999999997</v>
      </c>
      <c r="I355" s="100">
        <f t="shared" si="144"/>
        <v>2.5729467499999998</v>
      </c>
      <c r="J355" s="94">
        <v>0.24229999999999999</v>
      </c>
      <c r="K355" s="100">
        <f t="shared" si="145"/>
        <v>0.62342499752499991</v>
      </c>
      <c r="L355" s="95">
        <f t="shared" si="143"/>
        <v>3.2</v>
      </c>
      <c r="M355" s="79"/>
      <c r="N355" s="78"/>
      <c r="O355" s="78"/>
      <c r="P355" s="78"/>
      <c r="Q355" s="78"/>
    </row>
    <row r="356" spans="1:17" ht="15" customHeight="1">
      <c r="A356" s="78"/>
      <c r="B356" s="91"/>
      <c r="C356" s="34" t="s">
        <v>941</v>
      </c>
      <c r="D356" s="448" t="s">
        <v>942</v>
      </c>
      <c r="E356" s="449"/>
      <c r="F356" s="34" t="s">
        <v>709</v>
      </c>
      <c r="G356" s="92">
        <v>4.0000000000000002E-4</v>
      </c>
      <c r="H356" s="93">
        <v>437.71699999999998</v>
      </c>
      <c r="I356" s="100">
        <f t="shared" si="144"/>
        <v>0.17508680000000001</v>
      </c>
      <c r="J356" s="94">
        <v>0.24229999999999999</v>
      </c>
      <c r="K356" s="100">
        <f t="shared" si="145"/>
        <v>4.2423531640000005E-2</v>
      </c>
      <c r="L356" s="95">
        <f t="shared" si="143"/>
        <v>0.22</v>
      </c>
      <c r="M356" s="79"/>
      <c r="N356" s="78"/>
      <c r="O356" s="78"/>
      <c r="P356" s="78"/>
      <c r="Q356" s="78"/>
    </row>
    <row r="357" spans="1:17" ht="15" customHeight="1">
      <c r="A357" s="78"/>
      <c r="B357" s="91"/>
      <c r="C357" s="34" t="s">
        <v>937</v>
      </c>
      <c r="D357" s="448" t="s">
        <v>943</v>
      </c>
      <c r="E357" s="449"/>
      <c r="F357" s="34" t="s">
        <v>856</v>
      </c>
      <c r="G357" s="92">
        <v>6.1890000000000001E-2</v>
      </c>
      <c r="H357" s="93">
        <v>17.36</v>
      </c>
      <c r="I357" s="100">
        <f t="shared" si="144"/>
        <v>1.0744103999999999</v>
      </c>
      <c r="J357" s="94">
        <v>0.24229999999999999</v>
      </c>
      <c r="K357" s="100">
        <f t="shared" si="145"/>
        <v>0.26032963991999997</v>
      </c>
      <c r="L357" s="95">
        <f t="shared" si="143"/>
        <v>1.33</v>
      </c>
      <c r="M357" s="79"/>
      <c r="N357" s="78"/>
      <c r="O357" s="78"/>
      <c r="P357" s="78"/>
      <c r="Q357" s="78"/>
    </row>
    <row r="358" spans="1:17" ht="15" customHeight="1">
      <c r="A358" s="78"/>
      <c r="B358" s="91"/>
      <c r="C358" s="34" t="s">
        <v>926</v>
      </c>
      <c r="D358" s="448" t="s">
        <v>1197</v>
      </c>
      <c r="E358" s="449"/>
      <c r="F358" s="34" t="s">
        <v>709</v>
      </c>
      <c r="G358" s="92">
        <v>1</v>
      </c>
      <c r="H358" s="93">
        <v>0.25979999999999998</v>
      </c>
      <c r="I358" s="100">
        <f t="shared" si="144"/>
        <v>0.25979999999999998</v>
      </c>
      <c r="J358" s="94">
        <v>0.24229999999999999</v>
      </c>
      <c r="K358" s="100">
        <f t="shared" si="145"/>
        <v>6.2949539999999984E-2</v>
      </c>
      <c r="L358" s="95">
        <f t="shared" si="143"/>
        <v>0.32</v>
      </c>
      <c r="M358" s="79"/>
      <c r="N358" s="78"/>
      <c r="O358" s="78"/>
      <c r="P358" s="78"/>
      <c r="Q358" s="78"/>
    </row>
    <row r="359" spans="1:17" ht="15" customHeight="1">
      <c r="A359" s="78"/>
      <c r="B359" s="447"/>
      <c r="C359" s="364"/>
      <c r="D359" s="364"/>
      <c r="E359" s="364"/>
      <c r="F359" s="364"/>
      <c r="G359" s="364"/>
      <c r="H359" s="364"/>
      <c r="I359" s="364"/>
      <c r="J359" s="365"/>
      <c r="K359" s="96" t="s">
        <v>526</v>
      </c>
      <c r="L359" s="88">
        <f>SUM(L343:L358)</f>
        <v>68.959999999999994</v>
      </c>
      <c r="M359" s="79"/>
      <c r="N359" s="78"/>
      <c r="O359" s="78"/>
      <c r="P359" s="78"/>
      <c r="Q359" s="78"/>
    </row>
    <row r="360" spans="1:17" ht="15" customHeight="1">
      <c r="A360" s="78"/>
      <c r="B360" s="97" t="s">
        <v>514</v>
      </c>
      <c r="C360" s="233">
        <v>98525</v>
      </c>
      <c r="D360" s="450" t="s">
        <v>803</v>
      </c>
      <c r="E360" s="457"/>
      <c r="F360" s="457"/>
      <c r="G360" s="457"/>
      <c r="H360" s="457"/>
      <c r="I360" s="457"/>
      <c r="J360" s="457"/>
      <c r="K360" s="457"/>
      <c r="L360" s="458"/>
      <c r="M360" s="79"/>
      <c r="N360" s="78"/>
      <c r="O360" s="78"/>
      <c r="P360" s="78"/>
      <c r="Q360" s="78"/>
    </row>
    <row r="361" spans="1:17" ht="15" customHeight="1">
      <c r="A361" s="78"/>
      <c r="B361" s="33"/>
      <c r="C361" s="34">
        <v>88316</v>
      </c>
      <c r="D361" s="448" t="s">
        <v>529</v>
      </c>
      <c r="E361" s="449"/>
      <c r="F361" s="35" t="s">
        <v>528</v>
      </c>
      <c r="G361" s="92">
        <v>3.0000000000000001E-3</v>
      </c>
      <c r="H361" s="93">
        <v>17.39</v>
      </c>
      <c r="I361" s="100">
        <f t="shared" ref="I361:I364" si="146">G361*H361</f>
        <v>5.2170000000000001E-2</v>
      </c>
      <c r="J361" s="94">
        <v>0.24229999999999999</v>
      </c>
      <c r="K361" s="100">
        <f t="shared" ref="K361:K364" si="147">I361*J361</f>
        <v>1.2640791E-2</v>
      </c>
      <c r="L361" s="95">
        <f t="shared" ref="L361:L364" si="148">ROUND(I361+K361,2)</f>
        <v>0.06</v>
      </c>
      <c r="M361" s="79"/>
      <c r="N361" s="78"/>
      <c r="O361" s="78"/>
      <c r="P361" s="78"/>
      <c r="Q361" s="78"/>
    </row>
    <row r="362" spans="1:17" ht="15" customHeight="1">
      <c r="A362" s="78"/>
      <c r="B362" s="33"/>
      <c r="C362" s="34">
        <v>88441</v>
      </c>
      <c r="D362" s="448" t="s">
        <v>804</v>
      </c>
      <c r="E362" s="449"/>
      <c r="F362" s="35" t="s">
        <v>528</v>
      </c>
      <c r="G362" s="92">
        <v>3.0000000000000001E-3</v>
      </c>
      <c r="H362" s="93">
        <v>17.53</v>
      </c>
      <c r="I362" s="100">
        <f t="shared" si="146"/>
        <v>5.2590000000000005E-2</v>
      </c>
      <c r="J362" s="94">
        <v>0.24229999999999999</v>
      </c>
      <c r="K362" s="100">
        <f t="shared" si="147"/>
        <v>1.2742557E-2</v>
      </c>
      <c r="L362" s="95">
        <f t="shared" si="148"/>
        <v>7.0000000000000007E-2</v>
      </c>
      <c r="M362" s="79"/>
      <c r="N362" s="78"/>
      <c r="O362" s="78"/>
      <c r="P362" s="78"/>
      <c r="Q362" s="78"/>
    </row>
    <row r="363" spans="1:17" ht="15" customHeight="1">
      <c r="A363" s="78"/>
      <c r="B363" s="33"/>
      <c r="C363" s="34">
        <v>89031</v>
      </c>
      <c r="D363" s="448" t="s">
        <v>805</v>
      </c>
      <c r="E363" s="449"/>
      <c r="F363" s="35" t="s">
        <v>532</v>
      </c>
      <c r="G363" s="92">
        <v>2.3999999999999998E-3</v>
      </c>
      <c r="H363" s="93">
        <v>51.63</v>
      </c>
      <c r="I363" s="100">
        <f t="shared" si="146"/>
        <v>0.12391199999999999</v>
      </c>
      <c r="J363" s="94">
        <v>0.24229999999999999</v>
      </c>
      <c r="K363" s="100">
        <f t="shared" si="147"/>
        <v>3.0023877599999999E-2</v>
      </c>
      <c r="L363" s="95">
        <f t="shared" si="148"/>
        <v>0.15</v>
      </c>
      <c r="M363" s="79"/>
      <c r="N363" s="78"/>
      <c r="O363" s="78"/>
      <c r="P363" s="78"/>
      <c r="Q363" s="78"/>
    </row>
    <row r="364" spans="1:17" ht="15" customHeight="1">
      <c r="A364" s="78"/>
      <c r="B364" s="33"/>
      <c r="C364" s="34">
        <v>89032</v>
      </c>
      <c r="D364" s="448" t="s">
        <v>806</v>
      </c>
      <c r="E364" s="449"/>
      <c r="F364" s="35" t="s">
        <v>497</v>
      </c>
      <c r="G364" s="92">
        <v>5.9999999999999995E-4</v>
      </c>
      <c r="H364" s="93">
        <v>149.80000000000001</v>
      </c>
      <c r="I364" s="100">
        <f t="shared" si="146"/>
        <v>8.9880000000000002E-2</v>
      </c>
      <c r="J364" s="94">
        <v>0.24229999999999999</v>
      </c>
      <c r="K364" s="100">
        <f t="shared" si="147"/>
        <v>2.1777924000000001E-2</v>
      </c>
      <c r="L364" s="95">
        <f t="shared" si="148"/>
        <v>0.11</v>
      </c>
      <c r="M364" s="79"/>
      <c r="N364" s="78"/>
      <c r="O364" s="78"/>
      <c r="P364" s="78"/>
      <c r="Q364" s="78"/>
    </row>
    <row r="365" spans="1:17" ht="15" customHeight="1">
      <c r="A365" s="78"/>
      <c r="B365" s="451"/>
      <c r="C365" s="364"/>
      <c r="D365" s="364"/>
      <c r="E365" s="364"/>
      <c r="F365" s="364"/>
      <c r="G365" s="364"/>
      <c r="H365" s="364"/>
      <c r="I365" s="364"/>
      <c r="J365" s="365"/>
      <c r="K365" s="103" t="s">
        <v>526</v>
      </c>
      <c r="L365" s="104">
        <f>SUM(L361:L364)</f>
        <v>0.39</v>
      </c>
      <c r="M365" s="79"/>
      <c r="N365" s="78"/>
      <c r="O365" s="78"/>
      <c r="P365" s="78"/>
      <c r="Q365" s="78"/>
    </row>
    <row r="366" spans="1:17" ht="39" customHeight="1">
      <c r="A366" s="78"/>
      <c r="B366" s="89" t="s">
        <v>515</v>
      </c>
      <c r="C366" s="231">
        <v>90082</v>
      </c>
      <c r="D366" s="450" t="s">
        <v>697</v>
      </c>
      <c r="E366" s="364"/>
      <c r="F366" s="364"/>
      <c r="G366" s="364"/>
      <c r="H366" s="364"/>
      <c r="I366" s="364"/>
      <c r="J366" s="364"/>
      <c r="K366" s="364"/>
      <c r="L366" s="428"/>
      <c r="M366" s="79"/>
      <c r="N366" s="78"/>
      <c r="O366" s="78"/>
      <c r="P366" s="78"/>
      <c r="Q366" s="78"/>
    </row>
    <row r="367" spans="1:17" ht="30.75" customHeight="1">
      <c r="A367" s="78"/>
      <c r="B367" s="91"/>
      <c r="C367" s="34">
        <v>5631</v>
      </c>
      <c r="D367" s="448" t="s">
        <v>681</v>
      </c>
      <c r="E367" s="449"/>
      <c r="F367" s="35" t="s">
        <v>497</v>
      </c>
      <c r="G367" s="92">
        <v>3.2199999999999999E-2</v>
      </c>
      <c r="H367" s="93">
        <v>179.93</v>
      </c>
      <c r="I367" s="100">
        <f t="shared" ref="I367:I369" si="149">G367*H367</f>
        <v>5.7937460000000005</v>
      </c>
      <c r="J367" s="94">
        <v>0.24229999999999999</v>
      </c>
      <c r="K367" s="100">
        <f t="shared" ref="K367:K369" si="150">I367*J367</f>
        <v>1.4038246558</v>
      </c>
      <c r="L367" s="95">
        <f t="shared" ref="L367:L369" si="151">ROUND(I367+K367,2)</f>
        <v>7.2</v>
      </c>
      <c r="M367" s="79"/>
      <c r="N367" s="78"/>
      <c r="O367" s="78"/>
      <c r="P367" s="78"/>
      <c r="Q367" s="78"/>
    </row>
    <row r="368" spans="1:17" ht="33" customHeight="1">
      <c r="A368" s="78"/>
      <c r="B368" s="91"/>
      <c r="C368" s="34">
        <v>5632</v>
      </c>
      <c r="D368" s="448" t="s">
        <v>682</v>
      </c>
      <c r="E368" s="449"/>
      <c r="F368" s="35" t="s">
        <v>532</v>
      </c>
      <c r="G368" s="92">
        <v>3.5000000000000003E-2</v>
      </c>
      <c r="H368" s="93">
        <v>72.75</v>
      </c>
      <c r="I368" s="100">
        <f t="shared" si="149"/>
        <v>2.5462500000000001</v>
      </c>
      <c r="J368" s="94">
        <v>0.24229999999999999</v>
      </c>
      <c r="K368" s="100">
        <f t="shared" si="150"/>
        <v>0.616956375</v>
      </c>
      <c r="L368" s="95">
        <f t="shared" si="151"/>
        <v>3.16</v>
      </c>
      <c r="M368" s="79"/>
      <c r="N368" s="78"/>
      <c r="O368" s="78"/>
      <c r="P368" s="78"/>
      <c r="Q368" s="78"/>
    </row>
    <row r="369" spans="1:17" ht="19.5" customHeight="1">
      <c r="A369" s="78"/>
      <c r="B369" s="91"/>
      <c r="C369" s="34">
        <v>88316</v>
      </c>
      <c r="D369" s="448" t="s">
        <v>529</v>
      </c>
      <c r="E369" s="449"/>
      <c r="F369" s="35" t="s">
        <v>528</v>
      </c>
      <c r="G369" s="92">
        <v>6.7100000000000007E-2</v>
      </c>
      <c r="H369" s="93">
        <v>17.39</v>
      </c>
      <c r="I369" s="100">
        <f t="shared" si="149"/>
        <v>1.1668690000000002</v>
      </c>
      <c r="J369" s="94">
        <v>0.24229999999999999</v>
      </c>
      <c r="K369" s="100">
        <f t="shared" si="150"/>
        <v>0.28273235870000002</v>
      </c>
      <c r="L369" s="95">
        <f t="shared" si="151"/>
        <v>1.45</v>
      </c>
      <c r="M369" s="79"/>
      <c r="N369" s="78"/>
      <c r="O369" s="78"/>
      <c r="P369" s="78"/>
      <c r="Q369" s="78"/>
    </row>
    <row r="370" spans="1:17" ht="15" customHeight="1">
      <c r="A370" s="78"/>
      <c r="B370" s="459"/>
      <c r="C370" s="364"/>
      <c r="D370" s="364"/>
      <c r="E370" s="364"/>
      <c r="F370" s="364"/>
      <c r="G370" s="364"/>
      <c r="H370" s="364"/>
      <c r="I370" s="364"/>
      <c r="J370" s="365"/>
      <c r="K370" s="96" t="s">
        <v>526</v>
      </c>
      <c r="L370" s="88">
        <f>SUM(L367:L369)</f>
        <v>11.809999999999999</v>
      </c>
      <c r="M370" s="79"/>
      <c r="N370" s="78"/>
      <c r="O370" s="78"/>
      <c r="P370" s="78"/>
      <c r="Q370" s="78"/>
    </row>
    <row r="371" spans="1:17" ht="35.25" customHeight="1">
      <c r="A371" s="78"/>
      <c r="B371" s="97" t="s">
        <v>516</v>
      </c>
      <c r="C371" s="233">
        <v>90084</v>
      </c>
      <c r="D371" s="450" t="s">
        <v>698</v>
      </c>
      <c r="E371" s="457"/>
      <c r="F371" s="457"/>
      <c r="G371" s="457"/>
      <c r="H371" s="457"/>
      <c r="I371" s="457"/>
      <c r="J371" s="457"/>
      <c r="K371" s="457"/>
      <c r="L371" s="458"/>
      <c r="M371" s="79"/>
      <c r="N371" s="78"/>
      <c r="O371" s="78"/>
      <c r="P371" s="78"/>
      <c r="Q371" s="78"/>
    </row>
    <row r="372" spans="1:17" ht="35.25" customHeight="1">
      <c r="A372" s="78"/>
      <c r="B372" s="91"/>
      <c r="C372" s="34">
        <v>5631</v>
      </c>
      <c r="D372" s="448" t="s">
        <v>681</v>
      </c>
      <c r="E372" s="449" t="s">
        <v>681</v>
      </c>
      <c r="F372" s="35" t="s">
        <v>497</v>
      </c>
      <c r="G372" s="92">
        <v>3.1199999999999999E-2</v>
      </c>
      <c r="H372" s="93">
        <v>179.93</v>
      </c>
      <c r="I372" s="100">
        <f t="shared" ref="I372:I374" si="152">G372*H372</f>
        <v>5.6138159999999999</v>
      </c>
      <c r="J372" s="94">
        <v>0.24229999999999999</v>
      </c>
      <c r="K372" s="100">
        <f t="shared" ref="K372:K374" si="153">I372*J372</f>
        <v>1.3602276167999998</v>
      </c>
      <c r="L372" s="95">
        <f t="shared" ref="L372:L374" si="154">ROUND(I372+K372,2)</f>
        <v>6.97</v>
      </c>
      <c r="M372" s="79"/>
      <c r="N372" s="78"/>
      <c r="O372" s="78"/>
      <c r="P372" s="78"/>
      <c r="Q372" s="78"/>
    </row>
    <row r="373" spans="1:17" ht="35.25" customHeight="1">
      <c r="A373" s="78"/>
      <c r="B373" s="91"/>
      <c r="C373" s="34">
        <v>5632</v>
      </c>
      <c r="D373" s="448" t="s">
        <v>682</v>
      </c>
      <c r="E373" s="449" t="s">
        <v>682</v>
      </c>
      <c r="F373" s="35" t="s">
        <v>532</v>
      </c>
      <c r="G373" s="92">
        <v>3.39E-2</v>
      </c>
      <c r="H373" s="93">
        <v>72.75</v>
      </c>
      <c r="I373" s="100">
        <f t="shared" si="152"/>
        <v>2.4662250000000001</v>
      </c>
      <c r="J373" s="94">
        <v>0.24229999999999999</v>
      </c>
      <c r="K373" s="100">
        <f t="shared" si="153"/>
        <v>0.5975663175</v>
      </c>
      <c r="L373" s="95">
        <f t="shared" si="154"/>
        <v>3.06</v>
      </c>
      <c r="M373" s="79"/>
      <c r="N373" s="78"/>
      <c r="O373" s="78"/>
      <c r="P373" s="78"/>
      <c r="Q373" s="78"/>
    </row>
    <row r="374" spans="1:17" ht="15" customHeight="1">
      <c r="A374" s="78"/>
      <c r="B374" s="33"/>
      <c r="C374" s="34">
        <v>88316</v>
      </c>
      <c r="D374" s="448" t="s">
        <v>529</v>
      </c>
      <c r="E374" s="449" t="s">
        <v>529</v>
      </c>
      <c r="F374" s="35" t="s">
        <v>528</v>
      </c>
      <c r="G374" s="92">
        <v>6.5000000000000002E-2</v>
      </c>
      <c r="H374" s="93">
        <v>17.39</v>
      </c>
      <c r="I374" s="100">
        <f t="shared" si="152"/>
        <v>1.13035</v>
      </c>
      <c r="J374" s="94">
        <v>0.24229999999999999</v>
      </c>
      <c r="K374" s="100">
        <f t="shared" si="153"/>
        <v>0.27388380499999998</v>
      </c>
      <c r="L374" s="95">
        <f t="shared" si="154"/>
        <v>1.4</v>
      </c>
      <c r="M374" s="79"/>
      <c r="N374" s="78"/>
      <c r="O374" s="78"/>
      <c r="P374" s="78"/>
      <c r="Q374" s="78"/>
    </row>
    <row r="375" spans="1:17" ht="15" customHeight="1">
      <c r="A375" s="78"/>
      <c r="B375" s="456"/>
      <c r="C375" s="364"/>
      <c r="D375" s="364"/>
      <c r="E375" s="364"/>
      <c r="F375" s="364"/>
      <c r="G375" s="364"/>
      <c r="H375" s="364"/>
      <c r="I375" s="364"/>
      <c r="J375" s="365"/>
      <c r="K375" s="103" t="s">
        <v>526</v>
      </c>
      <c r="L375" s="104">
        <f>SUM(L372:L374)</f>
        <v>11.43</v>
      </c>
      <c r="M375" s="79"/>
      <c r="N375" s="78"/>
      <c r="O375" s="78"/>
      <c r="P375" s="78"/>
      <c r="Q375" s="78"/>
    </row>
    <row r="376" spans="1:17" ht="15.75" customHeight="1">
      <c r="A376" s="11"/>
      <c r="B376" s="97" t="s">
        <v>669</v>
      </c>
      <c r="C376" s="233">
        <v>83336</v>
      </c>
      <c r="D376" s="450" t="s">
        <v>699</v>
      </c>
      <c r="E376" s="364"/>
      <c r="F376" s="364"/>
      <c r="G376" s="364"/>
      <c r="H376" s="364"/>
      <c r="I376" s="364"/>
      <c r="J376" s="364"/>
      <c r="K376" s="364"/>
      <c r="L376" s="428"/>
      <c r="M376" s="14"/>
      <c r="N376" s="11"/>
      <c r="O376" s="11"/>
      <c r="P376" s="11"/>
      <c r="Q376" s="11"/>
    </row>
    <row r="377" spans="1:17" ht="15.75" customHeight="1">
      <c r="A377" s="11"/>
      <c r="B377" s="199"/>
      <c r="C377" s="35">
        <v>88316</v>
      </c>
      <c r="D377" s="448" t="s">
        <v>529</v>
      </c>
      <c r="E377" s="365"/>
      <c r="F377" s="35" t="s">
        <v>528</v>
      </c>
      <c r="G377" s="92">
        <v>7.1428000000000005E-2</v>
      </c>
      <c r="H377" s="93">
        <v>17.39</v>
      </c>
      <c r="I377" s="100">
        <f t="shared" ref="I377:I378" si="155">G377*H377</f>
        <v>1.2421329200000002</v>
      </c>
      <c r="J377" s="94">
        <v>0.24229999999999999</v>
      </c>
      <c r="K377" s="100">
        <f t="shared" ref="K377:K378" si="156">I377*J377</f>
        <v>0.30096880651600005</v>
      </c>
      <c r="L377" s="95">
        <f t="shared" ref="L377:L378" si="157">ROUND(I377+K377,2)</f>
        <v>1.54</v>
      </c>
      <c r="M377" s="14"/>
      <c r="N377" s="11"/>
      <c r="O377" s="11"/>
      <c r="P377" s="11"/>
      <c r="Q377" s="11"/>
    </row>
    <row r="378" spans="1:17" ht="15.75" customHeight="1">
      <c r="A378" s="11"/>
      <c r="B378" s="199"/>
      <c r="C378" s="35">
        <v>90991</v>
      </c>
      <c r="D378" s="448" t="s">
        <v>700</v>
      </c>
      <c r="E378" s="365"/>
      <c r="F378" s="35" t="s">
        <v>528</v>
      </c>
      <c r="G378" s="92">
        <v>2.3809E-2</v>
      </c>
      <c r="H378" s="93">
        <v>174.5</v>
      </c>
      <c r="I378" s="100">
        <f t="shared" si="155"/>
        <v>4.1546704999999999</v>
      </c>
      <c r="J378" s="94">
        <v>0.24229999999999999</v>
      </c>
      <c r="K378" s="100">
        <f t="shared" si="156"/>
        <v>1.0066766621499998</v>
      </c>
      <c r="L378" s="95">
        <f t="shared" si="157"/>
        <v>5.16</v>
      </c>
      <c r="M378" s="14"/>
      <c r="N378" s="11"/>
      <c r="O378" s="11"/>
      <c r="P378" s="11"/>
      <c r="Q378" s="11"/>
    </row>
    <row r="379" spans="1:17" ht="15.75" customHeight="1">
      <c r="A379" s="11"/>
      <c r="B379" s="467"/>
      <c r="C379" s="364"/>
      <c r="D379" s="364"/>
      <c r="E379" s="364"/>
      <c r="F379" s="364"/>
      <c r="G379" s="364"/>
      <c r="H379" s="364"/>
      <c r="I379" s="364"/>
      <c r="J379" s="365"/>
      <c r="K379" s="103" t="s">
        <v>526</v>
      </c>
      <c r="L379" s="104">
        <f>SUM(L377:L378)</f>
        <v>6.7</v>
      </c>
      <c r="M379" s="14"/>
      <c r="N379" s="11"/>
      <c r="O379" s="11"/>
      <c r="P379" s="11"/>
      <c r="Q379" s="11"/>
    </row>
    <row r="380" spans="1:17" ht="15.75" customHeight="1">
      <c r="A380" s="11"/>
      <c r="B380" s="97" t="s">
        <v>670</v>
      </c>
      <c r="C380" s="233" t="s">
        <v>701</v>
      </c>
      <c r="D380" s="450" t="s">
        <v>703</v>
      </c>
      <c r="E380" s="364"/>
      <c r="F380" s="364"/>
      <c r="G380" s="364"/>
      <c r="H380" s="364"/>
      <c r="I380" s="364"/>
      <c r="J380" s="364"/>
      <c r="K380" s="364"/>
      <c r="L380" s="428"/>
      <c r="M380" s="14"/>
      <c r="N380" s="11"/>
      <c r="O380" s="11"/>
      <c r="P380" s="11"/>
      <c r="Q380" s="11"/>
    </row>
    <row r="381" spans="1:17" ht="15.75" customHeight="1">
      <c r="A381" s="11"/>
      <c r="B381" s="33"/>
      <c r="C381" s="35" t="s">
        <v>704</v>
      </c>
      <c r="D381" s="448" t="s">
        <v>705</v>
      </c>
      <c r="E381" s="449"/>
      <c r="F381" s="35" t="s">
        <v>528</v>
      </c>
      <c r="G381" s="236">
        <v>4.344237369129849E-3</v>
      </c>
      <c r="H381" s="100">
        <v>325.42039999999997</v>
      </c>
      <c r="I381" s="100">
        <f t="shared" ref="I381:I383" si="158">G381*H381</f>
        <v>1.4137034623571829</v>
      </c>
      <c r="J381" s="94">
        <v>0.24229999999999999</v>
      </c>
      <c r="K381" s="100">
        <f t="shared" ref="K381:K383" si="159">I381*J381</f>
        <v>0.34254034892914542</v>
      </c>
      <c r="L381" s="95">
        <f t="shared" ref="L381:L383" si="160">ROUND(I381+K381,2)</f>
        <v>1.76</v>
      </c>
      <c r="M381" s="14"/>
      <c r="N381" s="11"/>
      <c r="O381" s="11"/>
      <c r="P381" s="11"/>
      <c r="Q381" s="11"/>
    </row>
    <row r="382" spans="1:17" ht="15.75" customHeight="1">
      <c r="A382" s="11"/>
      <c r="B382" s="33"/>
      <c r="C382" s="35" t="s">
        <v>706</v>
      </c>
      <c r="D382" s="179" t="s">
        <v>707</v>
      </c>
      <c r="E382" s="204"/>
      <c r="F382" s="35" t="s">
        <v>528</v>
      </c>
      <c r="G382" s="236">
        <v>4.344237369129849E-3</v>
      </c>
      <c r="H382" s="100">
        <v>18.4068</v>
      </c>
      <c r="I382" s="100">
        <f t="shared" si="158"/>
        <v>7.996350840609931E-2</v>
      </c>
      <c r="J382" s="94">
        <v>0.24229999999999999</v>
      </c>
      <c r="K382" s="100">
        <f t="shared" si="159"/>
        <v>1.9375158086797861E-2</v>
      </c>
      <c r="L382" s="95">
        <f t="shared" si="160"/>
        <v>0.1</v>
      </c>
      <c r="M382" s="14"/>
      <c r="N382" s="11"/>
      <c r="O382" s="11"/>
      <c r="P382" s="11"/>
      <c r="Q382" s="11"/>
    </row>
    <row r="383" spans="1:17" ht="15.75" customHeight="1">
      <c r="A383" s="11"/>
      <c r="B383" s="33"/>
      <c r="C383" s="35"/>
      <c r="D383" s="179" t="s">
        <v>708</v>
      </c>
      <c r="E383" s="204"/>
      <c r="F383" s="35" t="s">
        <v>709</v>
      </c>
      <c r="G383" s="236">
        <v>1</v>
      </c>
      <c r="H383" s="100">
        <v>1.89E-2</v>
      </c>
      <c r="I383" s="100">
        <f t="shared" si="158"/>
        <v>1.89E-2</v>
      </c>
      <c r="J383" s="94">
        <v>0.24229999999999999</v>
      </c>
      <c r="K383" s="100">
        <f t="shared" si="159"/>
        <v>4.5794699999999995E-3</v>
      </c>
      <c r="L383" s="95">
        <f t="shared" si="160"/>
        <v>0.02</v>
      </c>
      <c r="M383" s="14"/>
      <c r="N383" s="11"/>
      <c r="O383" s="11"/>
      <c r="P383" s="11"/>
      <c r="Q383" s="11"/>
    </row>
    <row r="384" spans="1:17" ht="15.75" customHeight="1">
      <c r="A384" s="11"/>
      <c r="B384" s="456"/>
      <c r="C384" s="364"/>
      <c r="D384" s="364"/>
      <c r="E384" s="364"/>
      <c r="F384" s="364"/>
      <c r="G384" s="364"/>
      <c r="H384" s="364"/>
      <c r="I384" s="364"/>
      <c r="J384" s="365"/>
      <c r="K384" s="103" t="s">
        <v>526</v>
      </c>
      <c r="L384" s="104">
        <f>SUM(L381:L383)</f>
        <v>1.8800000000000001</v>
      </c>
      <c r="M384" s="14"/>
      <c r="N384" s="11"/>
      <c r="O384" s="11"/>
      <c r="P384" s="11"/>
      <c r="Q384" s="11"/>
    </row>
    <row r="385" spans="1:17" ht="15.75" customHeight="1">
      <c r="A385" s="11"/>
      <c r="B385" s="97" t="s">
        <v>878</v>
      </c>
      <c r="C385" s="233" t="s">
        <v>957</v>
      </c>
      <c r="D385" s="450" t="s">
        <v>958</v>
      </c>
      <c r="E385" s="364"/>
      <c r="F385" s="364"/>
      <c r="G385" s="364"/>
      <c r="H385" s="364"/>
      <c r="I385" s="364"/>
      <c r="J385" s="364"/>
      <c r="K385" s="364"/>
      <c r="L385" s="428"/>
      <c r="M385" s="14"/>
      <c r="N385" s="11"/>
      <c r="O385" s="11"/>
      <c r="P385" s="11"/>
      <c r="Q385" s="11"/>
    </row>
    <row r="386" spans="1:17" ht="15.75" customHeight="1">
      <c r="A386" s="11"/>
      <c r="B386" s="33"/>
      <c r="C386" s="35" t="s">
        <v>959</v>
      </c>
      <c r="D386" s="448" t="s">
        <v>960</v>
      </c>
      <c r="E386" s="449"/>
      <c r="F386" s="35" t="s">
        <v>497</v>
      </c>
      <c r="G386" s="236">
        <f>0.86/457.16*3</f>
        <v>5.6435383673112257E-3</v>
      </c>
      <c r="H386" s="100">
        <v>285.47550000000001</v>
      </c>
      <c r="I386" s="100">
        <f t="shared" ref="I386:I388" si="161">G386*H386</f>
        <v>1.611091937177356</v>
      </c>
      <c r="J386" s="94">
        <v>0.24229999999999999</v>
      </c>
      <c r="K386" s="100">
        <f t="shared" ref="K386:K388" si="162">I386*J386</f>
        <v>0.39036757637807334</v>
      </c>
      <c r="L386" s="95">
        <f t="shared" ref="L386:L388" si="163">ROUND(I386+K386,2)</f>
        <v>2</v>
      </c>
      <c r="M386" s="14"/>
      <c r="N386" s="11"/>
      <c r="O386" s="11"/>
      <c r="P386" s="11"/>
      <c r="Q386" s="11"/>
    </row>
    <row r="387" spans="1:17" ht="15.75" customHeight="1">
      <c r="A387" s="11"/>
      <c r="B387" s="33"/>
      <c r="C387" s="35" t="s">
        <v>959</v>
      </c>
      <c r="D387" s="448" t="s">
        <v>960</v>
      </c>
      <c r="E387" s="449"/>
      <c r="F387" s="35" t="s">
        <v>532</v>
      </c>
      <c r="G387" s="236">
        <f>0.14/457.16*3</f>
        <v>9.1871554816694376E-4</v>
      </c>
      <c r="H387" s="100">
        <v>86.466800000000006</v>
      </c>
      <c r="I387" s="100">
        <f t="shared" ref="I387" si="164">G387*H387</f>
        <v>7.9438393560241502E-2</v>
      </c>
      <c r="J387" s="94">
        <v>0.24229999999999999</v>
      </c>
      <c r="K387" s="100">
        <f t="shared" ref="K387" si="165">I387*J387</f>
        <v>1.9247922759646516E-2</v>
      </c>
      <c r="L387" s="95">
        <f t="shared" si="163"/>
        <v>0.1</v>
      </c>
      <c r="M387" s="14"/>
      <c r="N387" s="11"/>
      <c r="O387" s="11"/>
      <c r="P387" s="11"/>
      <c r="Q387" s="11"/>
    </row>
    <row r="388" spans="1:17" ht="15.75" customHeight="1">
      <c r="A388" s="11"/>
      <c r="B388" s="33"/>
      <c r="C388" s="35" t="s">
        <v>961</v>
      </c>
      <c r="D388" s="448" t="s">
        <v>962</v>
      </c>
      <c r="E388" s="449"/>
      <c r="F388" s="35" t="s">
        <v>497</v>
      </c>
      <c r="G388" s="236">
        <f>1/457.16</f>
        <v>2.1874179718260564E-3</v>
      </c>
      <c r="H388" s="100">
        <v>406.67219999999998</v>
      </c>
      <c r="I388" s="100">
        <f t="shared" si="161"/>
        <v>0.88956207892204031</v>
      </c>
      <c r="J388" s="94">
        <v>0.24229999999999999</v>
      </c>
      <c r="K388" s="100">
        <f t="shared" si="162"/>
        <v>0.21554089172281035</v>
      </c>
      <c r="L388" s="95">
        <f t="shared" si="163"/>
        <v>1.1100000000000001</v>
      </c>
      <c r="M388" s="14"/>
      <c r="N388" s="11"/>
      <c r="O388" s="11"/>
      <c r="P388" s="11"/>
      <c r="Q388" s="11"/>
    </row>
    <row r="389" spans="1:17" ht="15.75" customHeight="1">
      <c r="A389" s="11"/>
      <c r="B389" s="456"/>
      <c r="C389" s="364"/>
      <c r="D389" s="364"/>
      <c r="E389" s="364"/>
      <c r="F389" s="364"/>
      <c r="G389" s="364"/>
      <c r="H389" s="364"/>
      <c r="I389" s="364"/>
      <c r="J389" s="365"/>
      <c r="K389" s="103" t="s">
        <v>526</v>
      </c>
      <c r="L389" s="104">
        <f>SUM(L386:L388)</f>
        <v>3.21</v>
      </c>
      <c r="M389" s="14"/>
      <c r="N389" s="11"/>
      <c r="O389" s="11"/>
      <c r="P389" s="11"/>
      <c r="Q389" s="11"/>
    </row>
    <row r="390" spans="1:17" ht="15.75" customHeight="1">
      <c r="A390" s="11"/>
      <c r="B390" s="97" t="s">
        <v>882</v>
      </c>
      <c r="C390" s="233">
        <v>95606</v>
      </c>
      <c r="D390" s="450" t="s">
        <v>713</v>
      </c>
      <c r="E390" s="364"/>
      <c r="F390" s="364"/>
      <c r="G390" s="364"/>
      <c r="H390" s="364"/>
      <c r="I390" s="364"/>
      <c r="J390" s="364"/>
      <c r="K390" s="364"/>
      <c r="L390" s="428"/>
      <c r="M390" s="14"/>
      <c r="N390" s="11"/>
      <c r="O390" s="11"/>
      <c r="P390" s="11"/>
      <c r="Q390" s="11"/>
    </row>
    <row r="391" spans="1:17" ht="15.75" customHeight="1">
      <c r="A391" s="11"/>
      <c r="B391" s="33"/>
      <c r="C391" s="35">
        <v>5901</v>
      </c>
      <c r="D391" s="448" t="s">
        <v>786</v>
      </c>
      <c r="E391" s="365"/>
      <c r="F391" s="35" t="s">
        <v>497</v>
      </c>
      <c r="G391" s="92">
        <v>6.0000000000000001E-3</v>
      </c>
      <c r="H391" s="93">
        <v>271.41000000000003</v>
      </c>
      <c r="I391" s="100">
        <f t="shared" ref="I391:I393" si="166">G391*H391</f>
        <v>1.6284600000000002</v>
      </c>
      <c r="J391" s="94">
        <v>0.24229999999999999</v>
      </c>
      <c r="K391" s="100">
        <f t="shared" ref="K391:K393" si="167">I391*J391</f>
        <v>0.39457585800000006</v>
      </c>
      <c r="L391" s="95">
        <f t="shared" ref="L391:L393" si="168">ROUND(I391+K391,2)</f>
        <v>2.02</v>
      </c>
      <c r="M391" s="14"/>
      <c r="N391" s="11"/>
      <c r="O391" s="11"/>
      <c r="P391" s="11"/>
      <c r="Q391" s="11"/>
    </row>
    <row r="392" spans="1:17" ht="15.75" customHeight="1">
      <c r="A392" s="11"/>
      <c r="B392" s="33"/>
      <c r="C392" s="35">
        <v>5903</v>
      </c>
      <c r="D392" s="448" t="s">
        <v>787</v>
      </c>
      <c r="E392" s="365"/>
      <c r="F392" s="35" t="s">
        <v>532</v>
      </c>
      <c r="G392" s="92">
        <v>3.0000000000000001E-3</v>
      </c>
      <c r="H392" s="93">
        <v>66.260000000000005</v>
      </c>
      <c r="I392" s="100">
        <f t="shared" si="166"/>
        <v>0.19878000000000001</v>
      </c>
      <c r="J392" s="94">
        <v>0.24229999999999999</v>
      </c>
      <c r="K392" s="100">
        <f t="shared" si="167"/>
        <v>4.8164393999999999E-2</v>
      </c>
      <c r="L392" s="95">
        <f t="shared" si="168"/>
        <v>0.25</v>
      </c>
      <c r="M392" s="14"/>
      <c r="N392" s="11"/>
      <c r="O392" s="11"/>
      <c r="P392" s="11"/>
      <c r="Q392" s="11"/>
    </row>
    <row r="393" spans="1:17" ht="15.75" customHeight="1">
      <c r="A393" s="11"/>
      <c r="B393" s="33"/>
      <c r="C393" s="35">
        <v>88316</v>
      </c>
      <c r="D393" s="448" t="s">
        <v>529</v>
      </c>
      <c r="E393" s="365"/>
      <c r="F393" s="35" t="s">
        <v>528</v>
      </c>
      <c r="G393" s="92">
        <v>8.9999999999999993E-3</v>
      </c>
      <c r="H393" s="93">
        <v>17.39</v>
      </c>
      <c r="I393" s="100">
        <f t="shared" si="166"/>
        <v>0.15650999999999998</v>
      </c>
      <c r="J393" s="94">
        <v>0.24229999999999999</v>
      </c>
      <c r="K393" s="100">
        <f t="shared" si="167"/>
        <v>3.7922372999999995E-2</v>
      </c>
      <c r="L393" s="95">
        <f t="shared" si="168"/>
        <v>0.19</v>
      </c>
      <c r="M393" s="14"/>
      <c r="N393" s="11"/>
      <c r="O393" s="11"/>
      <c r="P393" s="11"/>
      <c r="Q393" s="11"/>
    </row>
    <row r="394" spans="1:17" ht="15.75" customHeight="1">
      <c r="A394" s="11"/>
      <c r="B394" s="456"/>
      <c r="C394" s="364"/>
      <c r="D394" s="364"/>
      <c r="E394" s="364"/>
      <c r="F394" s="364"/>
      <c r="G394" s="364"/>
      <c r="H394" s="364"/>
      <c r="I394" s="364"/>
      <c r="J394" s="365"/>
      <c r="K394" s="103" t="s">
        <v>526</v>
      </c>
      <c r="L394" s="104">
        <f>SUM(L391:L393)</f>
        <v>2.46</v>
      </c>
      <c r="M394" s="14"/>
      <c r="N394" s="11"/>
      <c r="O394" s="11"/>
      <c r="P394" s="11"/>
      <c r="Q394" s="11"/>
    </row>
    <row r="395" spans="1:17" ht="15.75" customHeight="1">
      <c r="A395" s="11"/>
      <c r="B395" s="97" t="s">
        <v>884</v>
      </c>
      <c r="C395" s="233">
        <v>93588</v>
      </c>
      <c r="D395" s="450" t="s">
        <v>789</v>
      </c>
      <c r="E395" s="364"/>
      <c r="F395" s="364"/>
      <c r="G395" s="364"/>
      <c r="H395" s="364"/>
      <c r="I395" s="364"/>
      <c r="J395" s="364"/>
      <c r="K395" s="364"/>
      <c r="L395" s="428"/>
      <c r="M395" s="14"/>
      <c r="N395" s="11"/>
      <c r="O395" s="11"/>
      <c r="P395" s="11"/>
      <c r="Q395" s="11"/>
    </row>
    <row r="396" spans="1:17" ht="15.75" customHeight="1">
      <c r="A396" s="11"/>
      <c r="B396" s="33"/>
      <c r="C396" s="35">
        <v>91386</v>
      </c>
      <c r="D396" s="448" t="s">
        <v>791</v>
      </c>
      <c r="E396" s="365"/>
      <c r="F396" s="35" t="s">
        <v>497</v>
      </c>
      <c r="G396" s="92">
        <v>1.0500000000000001E-2</v>
      </c>
      <c r="H396" s="93">
        <v>231.72</v>
      </c>
      <c r="I396" s="100">
        <f t="shared" ref="I396:I397" si="169">G396*H396</f>
        <v>2.4330600000000002</v>
      </c>
      <c r="J396" s="94">
        <v>0.24229999999999999</v>
      </c>
      <c r="K396" s="100">
        <f t="shared" ref="K396:K397" si="170">I396*J396</f>
        <v>0.58953043800000005</v>
      </c>
      <c r="L396" s="95">
        <f t="shared" ref="L396:L397" si="171">ROUND(I396+K396,2)</f>
        <v>3.02</v>
      </c>
      <c r="M396" s="14"/>
      <c r="N396" s="11"/>
      <c r="O396" s="11"/>
      <c r="P396" s="11"/>
      <c r="Q396" s="11"/>
    </row>
    <row r="397" spans="1:17" ht="15.75" customHeight="1">
      <c r="A397" s="11"/>
      <c r="B397" s="33"/>
      <c r="C397" s="35">
        <v>91387</v>
      </c>
      <c r="D397" s="448" t="s">
        <v>792</v>
      </c>
      <c r="E397" s="365"/>
      <c r="F397" s="35" t="s">
        <v>532</v>
      </c>
      <c r="G397" s="92">
        <v>4.4999999999999997E-3</v>
      </c>
      <c r="H397" s="93">
        <v>66.2</v>
      </c>
      <c r="I397" s="100">
        <f t="shared" si="169"/>
        <v>0.2979</v>
      </c>
      <c r="J397" s="94">
        <v>0.24229999999999999</v>
      </c>
      <c r="K397" s="100">
        <f t="shared" si="170"/>
        <v>7.2181169999999989E-2</v>
      </c>
      <c r="L397" s="95">
        <f t="shared" si="171"/>
        <v>0.37</v>
      </c>
      <c r="M397" s="14"/>
      <c r="N397" s="11"/>
      <c r="O397" s="11"/>
      <c r="P397" s="11"/>
      <c r="Q397" s="11"/>
    </row>
    <row r="398" spans="1:17" ht="15.75" customHeight="1">
      <c r="A398" s="11"/>
      <c r="B398" s="456"/>
      <c r="C398" s="364"/>
      <c r="D398" s="364"/>
      <c r="E398" s="364"/>
      <c r="F398" s="364"/>
      <c r="G398" s="364"/>
      <c r="H398" s="364"/>
      <c r="I398" s="364"/>
      <c r="J398" s="365"/>
      <c r="K398" s="103" t="s">
        <v>526</v>
      </c>
      <c r="L398" s="104">
        <f>SUM(L396:L397)</f>
        <v>3.39</v>
      </c>
      <c r="M398" s="14"/>
      <c r="N398" s="11"/>
      <c r="O398" s="11"/>
      <c r="P398" s="11"/>
      <c r="Q398" s="11"/>
    </row>
    <row r="399" spans="1:17" ht="15.75" customHeight="1">
      <c r="A399" s="11"/>
      <c r="B399" s="97" t="s">
        <v>1182</v>
      </c>
      <c r="C399" s="233">
        <v>93589</v>
      </c>
      <c r="D399" s="450" t="s">
        <v>789</v>
      </c>
      <c r="E399" s="364"/>
      <c r="F399" s="364"/>
      <c r="G399" s="364"/>
      <c r="H399" s="364"/>
      <c r="I399" s="364"/>
      <c r="J399" s="364"/>
      <c r="K399" s="364"/>
      <c r="L399" s="428"/>
      <c r="M399" s="14"/>
      <c r="N399" s="11"/>
      <c r="O399" s="11"/>
      <c r="P399" s="11"/>
      <c r="Q399" s="11"/>
    </row>
    <row r="400" spans="1:17" ht="15.75" customHeight="1">
      <c r="A400" s="11"/>
      <c r="B400" s="33"/>
      <c r="C400" s="35">
        <v>91386</v>
      </c>
      <c r="D400" s="448" t="s">
        <v>791</v>
      </c>
      <c r="E400" s="365"/>
      <c r="F400" s="35" t="s">
        <v>497</v>
      </c>
      <c r="G400" s="92">
        <v>8.9999999999999993E-3</v>
      </c>
      <c r="H400" s="93">
        <v>231.72</v>
      </c>
      <c r="I400" s="100">
        <f t="shared" ref="I400:I401" si="172">G400*H400</f>
        <v>2.08548</v>
      </c>
      <c r="J400" s="94">
        <v>0.24229999999999999</v>
      </c>
      <c r="K400" s="100">
        <f t="shared" ref="K400:K401" si="173">I400*J400</f>
        <v>0.50531180399999998</v>
      </c>
      <c r="L400" s="95">
        <f t="shared" ref="L400:L401" si="174">ROUND(I400+K400,2)</f>
        <v>2.59</v>
      </c>
      <c r="M400" s="14"/>
      <c r="N400" s="11"/>
      <c r="O400" s="11"/>
      <c r="P400" s="11"/>
      <c r="Q400" s="11"/>
    </row>
    <row r="401" spans="1:17" ht="15.75" customHeight="1">
      <c r="A401" s="11"/>
      <c r="B401" s="33"/>
      <c r="C401" s="35">
        <v>91387</v>
      </c>
      <c r="D401" s="448" t="s">
        <v>792</v>
      </c>
      <c r="E401" s="365"/>
      <c r="F401" s="35" t="s">
        <v>532</v>
      </c>
      <c r="G401" s="92">
        <v>3.8999999999999998E-3</v>
      </c>
      <c r="H401" s="93">
        <v>66.2</v>
      </c>
      <c r="I401" s="100">
        <f t="shared" si="172"/>
        <v>0.25818000000000002</v>
      </c>
      <c r="J401" s="94">
        <v>0.24229999999999999</v>
      </c>
      <c r="K401" s="100">
        <f t="shared" si="173"/>
        <v>6.2557014000000008E-2</v>
      </c>
      <c r="L401" s="95">
        <f t="shared" si="174"/>
        <v>0.32</v>
      </c>
      <c r="M401" s="14"/>
      <c r="N401" s="11"/>
      <c r="O401" s="11"/>
      <c r="P401" s="11"/>
      <c r="Q401" s="11"/>
    </row>
    <row r="402" spans="1:17" ht="15.75" customHeight="1">
      <c r="A402" s="11"/>
      <c r="B402" s="456"/>
      <c r="C402" s="364"/>
      <c r="D402" s="364"/>
      <c r="E402" s="364"/>
      <c r="F402" s="364"/>
      <c r="G402" s="364"/>
      <c r="H402" s="364"/>
      <c r="I402" s="364"/>
      <c r="J402" s="365"/>
      <c r="K402" s="103" t="s">
        <v>526</v>
      </c>
      <c r="L402" s="104">
        <f>SUM(L400:L401)</f>
        <v>2.9099999999999997</v>
      </c>
      <c r="M402" s="14"/>
      <c r="N402" s="11"/>
      <c r="O402" s="11"/>
      <c r="P402" s="11"/>
      <c r="Q402" s="11"/>
    </row>
    <row r="403" spans="1:17" ht="15.75" customHeight="1">
      <c r="A403" s="11"/>
      <c r="B403" s="246"/>
      <c r="C403" s="177"/>
      <c r="D403" s="177"/>
      <c r="E403" s="177"/>
      <c r="F403" s="177"/>
      <c r="G403" s="177"/>
      <c r="H403" s="177"/>
      <c r="I403" s="177"/>
      <c r="J403" s="177"/>
      <c r="K403" s="249"/>
      <c r="L403" s="250"/>
      <c r="M403" s="14"/>
      <c r="N403" s="11"/>
      <c r="O403" s="11"/>
      <c r="P403" s="11"/>
      <c r="Q403" s="11"/>
    </row>
    <row r="404" spans="1:17" ht="15.75" customHeight="1">
      <c r="A404" s="11"/>
      <c r="B404" s="246"/>
      <c r="C404" s="177"/>
      <c r="D404" s="177"/>
      <c r="E404" s="177"/>
      <c r="F404" s="177"/>
      <c r="G404" s="177"/>
      <c r="H404" s="177"/>
      <c r="I404" s="177"/>
      <c r="J404" s="177"/>
      <c r="K404" s="249"/>
      <c r="L404" s="250"/>
      <c r="M404" s="14"/>
      <c r="N404" s="11"/>
      <c r="O404" s="11"/>
      <c r="P404" s="11"/>
      <c r="Q404" s="11"/>
    </row>
    <row r="405" spans="1:17" ht="34.5" customHeight="1">
      <c r="A405" s="11"/>
      <c r="B405" s="97" t="s">
        <v>1183</v>
      </c>
      <c r="C405" s="233">
        <v>93360</v>
      </c>
      <c r="D405" s="450" t="s">
        <v>710</v>
      </c>
      <c r="E405" s="457"/>
      <c r="F405" s="457"/>
      <c r="G405" s="457"/>
      <c r="H405" s="457"/>
      <c r="I405" s="457"/>
      <c r="J405" s="457"/>
      <c r="K405" s="457"/>
      <c r="L405" s="458"/>
      <c r="M405" s="14"/>
      <c r="N405" s="11"/>
      <c r="O405" s="11"/>
      <c r="P405" s="11"/>
      <c r="Q405" s="11"/>
    </row>
    <row r="406" spans="1:17" ht="15" customHeight="1">
      <c r="A406" s="11"/>
      <c r="B406" s="33"/>
      <c r="C406" s="35">
        <v>5631</v>
      </c>
      <c r="D406" s="448" t="s">
        <v>681</v>
      </c>
      <c r="E406" s="449"/>
      <c r="F406" s="35" t="s">
        <v>497</v>
      </c>
      <c r="G406" s="92">
        <v>4.2999999999999997E-2</v>
      </c>
      <c r="H406" s="93">
        <v>179.93</v>
      </c>
      <c r="I406" s="100">
        <f t="shared" ref="I406" si="175">G406*H406</f>
        <v>7.7369899999999996</v>
      </c>
      <c r="J406" s="94">
        <v>0.24229999999999999</v>
      </c>
      <c r="K406" s="100">
        <f t="shared" ref="K406" si="176">I406*J406</f>
        <v>1.8746726769999997</v>
      </c>
      <c r="L406" s="95">
        <f t="shared" ref="L406:L411" si="177">ROUND(I406+K406,2)</f>
        <v>9.61</v>
      </c>
      <c r="M406" s="14"/>
      <c r="N406" s="11"/>
      <c r="O406" s="11"/>
      <c r="P406" s="11"/>
      <c r="Q406" s="11"/>
    </row>
    <row r="407" spans="1:17" ht="15" customHeight="1">
      <c r="A407" s="11"/>
      <c r="B407" s="33"/>
      <c r="C407" s="35">
        <v>5632</v>
      </c>
      <c r="D407" s="448" t="s">
        <v>682</v>
      </c>
      <c r="E407" s="449"/>
      <c r="F407" s="35" t="s">
        <v>532</v>
      </c>
      <c r="G407" s="92">
        <v>5.7000000000000002E-2</v>
      </c>
      <c r="H407" s="93">
        <v>72.75</v>
      </c>
      <c r="I407" s="100">
        <f t="shared" ref="I407:I411" si="178">G407*H407</f>
        <v>4.1467499999999999</v>
      </c>
      <c r="J407" s="94">
        <v>0.24229999999999999</v>
      </c>
      <c r="K407" s="100">
        <f t="shared" ref="K407:K411" si="179">I407*J407</f>
        <v>1.004757525</v>
      </c>
      <c r="L407" s="95">
        <f t="shared" si="177"/>
        <v>5.15</v>
      </c>
      <c r="M407" s="14"/>
      <c r="N407" s="11"/>
      <c r="O407" s="11"/>
      <c r="P407" s="11"/>
      <c r="Q407" s="11"/>
    </row>
    <row r="408" spans="1:17" ht="15" customHeight="1">
      <c r="A408" s="11"/>
      <c r="B408" s="33"/>
      <c r="C408" s="35">
        <v>88316</v>
      </c>
      <c r="D408" s="448" t="s">
        <v>529</v>
      </c>
      <c r="E408" s="449"/>
      <c r="F408" s="35" t="s">
        <v>528</v>
      </c>
      <c r="G408" s="92">
        <v>4.4999999999999998E-2</v>
      </c>
      <c r="H408" s="93">
        <v>17.39</v>
      </c>
      <c r="I408" s="100">
        <f t="shared" si="178"/>
        <v>0.78254999999999997</v>
      </c>
      <c r="J408" s="94">
        <v>0.24229999999999999</v>
      </c>
      <c r="K408" s="100">
        <f t="shared" si="179"/>
        <v>0.18961186499999999</v>
      </c>
      <c r="L408" s="95">
        <f t="shared" si="177"/>
        <v>0.97</v>
      </c>
      <c r="M408" s="14"/>
      <c r="N408" s="11"/>
      <c r="O408" s="11"/>
      <c r="P408" s="11"/>
      <c r="Q408" s="11"/>
    </row>
    <row r="409" spans="1:17" ht="15" customHeight="1">
      <c r="A409" s="11"/>
      <c r="B409" s="33"/>
      <c r="C409" s="35">
        <v>91533</v>
      </c>
      <c r="D409" s="448" t="s">
        <v>711</v>
      </c>
      <c r="E409" s="449"/>
      <c r="F409" s="35" t="s">
        <v>497</v>
      </c>
      <c r="G409" s="92">
        <v>9.4E-2</v>
      </c>
      <c r="H409" s="93">
        <v>23.45</v>
      </c>
      <c r="I409" s="100">
        <f t="shared" si="178"/>
        <v>2.2042999999999999</v>
      </c>
      <c r="J409" s="94">
        <v>0.24229999999999999</v>
      </c>
      <c r="K409" s="100">
        <f t="shared" si="179"/>
        <v>0.53410188999999997</v>
      </c>
      <c r="L409" s="95">
        <f t="shared" si="177"/>
        <v>2.74</v>
      </c>
      <c r="M409" s="14"/>
      <c r="N409" s="11"/>
      <c r="O409" s="11"/>
      <c r="P409" s="11"/>
      <c r="Q409" s="11"/>
    </row>
    <row r="410" spans="1:17" ht="15" customHeight="1">
      <c r="A410" s="11"/>
      <c r="B410" s="33"/>
      <c r="C410" s="35">
        <v>91534</v>
      </c>
      <c r="D410" s="448" t="s">
        <v>712</v>
      </c>
      <c r="E410" s="449"/>
      <c r="F410" s="35" t="s">
        <v>532</v>
      </c>
      <c r="G410" s="92">
        <v>8.6999999999999994E-2</v>
      </c>
      <c r="H410" s="93">
        <v>17.440000000000001</v>
      </c>
      <c r="I410" s="100">
        <f t="shared" si="178"/>
        <v>1.51728</v>
      </c>
      <c r="J410" s="94">
        <v>0.24229999999999999</v>
      </c>
      <c r="K410" s="100">
        <f t="shared" si="179"/>
        <v>0.36763694399999997</v>
      </c>
      <c r="L410" s="95">
        <f t="shared" si="177"/>
        <v>1.88</v>
      </c>
      <c r="M410" s="14"/>
      <c r="N410" s="11"/>
      <c r="O410" s="11"/>
      <c r="P410" s="11"/>
      <c r="Q410" s="11"/>
    </row>
    <row r="411" spans="1:17" ht="15.75" customHeight="1">
      <c r="A411" s="11"/>
      <c r="B411" s="33"/>
      <c r="C411" s="35">
        <v>95606</v>
      </c>
      <c r="D411" s="448" t="s">
        <v>713</v>
      </c>
      <c r="E411" s="449"/>
      <c r="F411" s="35" t="s">
        <v>501</v>
      </c>
      <c r="G411" s="92">
        <v>1</v>
      </c>
      <c r="H411" s="93">
        <v>1.96</v>
      </c>
      <c r="I411" s="100">
        <f t="shared" si="178"/>
        <v>1.96</v>
      </c>
      <c r="J411" s="94">
        <v>0.24229999999999999</v>
      </c>
      <c r="K411" s="100">
        <f t="shared" si="179"/>
        <v>0.47490799999999994</v>
      </c>
      <c r="L411" s="95">
        <f t="shared" si="177"/>
        <v>2.4300000000000002</v>
      </c>
      <c r="M411" s="14"/>
      <c r="N411" s="11"/>
      <c r="O411" s="11"/>
      <c r="P411" s="11"/>
      <c r="Q411" s="11"/>
    </row>
    <row r="412" spans="1:17" ht="15.75" customHeight="1">
      <c r="A412" s="11"/>
      <c r="B412" s="456"/>
      <c r="C412" s="364"/>
      <c r="D412" s="364"/>
      <c r="E412" s="364"/>
      <c r="F412" s="364"/>
      <c r="G412" s="364"/>
      <c r="H412" s="364"/>
      <c r="I412" s="364"/>
      <c r="J412" s="365"/>
      <c r="K412" s="103" t="s">
        <v>526</v>
      </c>
      <c r="L412" s="104">
        <f>SUM(L406:L411)</f>
        <v>22.779999999999998</v>
      </c>
      <c r="M412" s="14"/>
      <c r="N412" s="11"/>
      <c r="O412" s="11"/>
      <c r="P412" s="11"/>
      <c r="Q412" s="11"/>
    </row>
    <row r="413" spans="1:17" ht="15.75" customHeight="1">
      <c r="A413" s="11"/>
      <c r="B413" s="97" t="s">
        <v>1184</v>
      </c>
      <c r="C413" s="233">
        <v>93367</v>
      </c>
      <c r="D413" s="450" t="s">
        <v>714</v>
      </c>
      <c r="E413" s="364"/>
      <c r="F413" s="364"/>
      <c r="G413" s="364"/>
      <c r="H413" s="364"/>
      <c r="I413" s="364"/>
      <c r="J413" s="364"/>
      <c r="K413" s="364"/>
      <c r="L413" s="428"/>
      <c r="M413" s="14"/>
      <c r="N413" s="11"/>
      <c r="O413" s="11"/>
      <c r="P413" s="11"/>
      <c r="Q413" s="11"/>
    </row>
    <row r="414" spans="1:17" ht="15.75" customHeight="1">
      <c r="A414" s="11"/>
      <c r="B414" s="33"/>
      <c r="C414" s="35">
        <v>5631</v>
      </c>
      <c r="D414" s="448" t="s">
        <v>681</v>
      </c>
      <c r="E414" s="449"/>
      <c r="F414" s="35" t="s">
        <v>497</v>
      </c>
      <c r="G414" s="92">
        <v>3.9E-2</v>
      </c>
      <c r="H414" s="93">
        <v>179.93</v>
      </c>
      <c r="I414" s="100">
        <f t="shared" ref="I414:I419" si="180">G414*H414</f>
        <v>7.0172699999999999</v>
      </c>
      <c r="J414" s="94">
        <v>0.24229999999999999</v>
      </c>
      <c r="K414" s="100">
        <f t="shared" ref="K414:K419" si="181">I414*J414</f>
        <v>1.7002845209999999</v>
      </c>
      <c r="L414" s="95">
        <f t="shared" ref="L414:L419" si="182">ROUND(I414+K414,2)</f>
        <v>8.7200000000000006</v>
      </c>
      <c r="M414" s="14"/>
      <c r="N414" s="11"/>
      <c r="O414" s="11"/>
      <c r="P414" s="11"/>
      <c r="Q414" s="11"/>
    </row>
    <row r="415" spans="1:17" ht="15.75" customHeight="1">
      <c r="A415" s="11"/>
      <c r="B415" s="33"/>
      <c r="C415" s="35">
        <v>5632</v>
      </c>
      <c r="D415" s="448" t="s">
        <v>682</v>
      </c>
      <c r="E415" s="449"/>
      <c r="F415" s="35" t="s">
        <v>532</v>
      </c>
      <c r="G415" s="92">
        <v>5.0999999999999997E-2</v>
      </c>
      <c r="H415" s="93">
        <v>72.75</v>
      </c>
      <c r="I415" s="100">
        <f t="shared" si="180"/>
        <v>3.7102499999999998</v>
      </c>
      <c r="J415" s="94">
        <v>0.24229999999999999</v>
      </c>
      <c r="K415" s="100">
        <f t="shared" si="181"/>
        <v>0.89899357499999988</v>
      </c>
      <c r="L415" s="95">
        <f t="shared" si="182"/>
        <v>4.6100000000000003</v>
      </c>
      <c r="M415" s="14"/>
      <c r="N415" s="11"/>
      <c r="O415" s="11"/>
      <c r="P415" s="11"/>
      <c r="Q415" s="11"/>
    </row>
    <row r="416" spans="1:17" ht="15.75" customHeight="1">
      <c r="A416" s="11"/>
      <c r="B416" s="33"/>
      <c r="C416" s="35">
        <v>88316</v>
      </c>
      <c r="D416" s="448" t="s">
        <v>529</v>
      </c>
      <c r="E416" s="449"/>
      <c r="F416" s="35" t="s">
        <v>528</v>
      </c>
      <c r="G416" s="92">
        <v>3.9E-2</v>
      </c>
      <c r="H416" s="93">
        <v>17.39</v>
      </c>
      <c r="I416" s="100">
        <f t="shared" si="180"/>
        <v>0.67820999999999998</v>
      </c>
      <c r="J416" s="94">
        <v>0.24229999999999999</v>
      </c>
      <c r="K416" s="100">
        <f t="shared" si="181"/>
        <v>0.16433028299999999</v>
      </c>
      <c r="L416" s="95">
        <f t="shared" si="182"/>
        <v>0.84</v>
      </c>
      <c r="M416" s="14"/>
      <c r="N416" s="11"/>
      <c r="O416" s="11"/>
      <c r="P416" s="11"/>
      <c r="Q416" s="11"/>
    </row>
    <row r="417" spans="1:17" ht="15.75" customHeight="1">
      <c r="A417" s="11"/>
      <c r="B417" s="33"/>
      <c r="C417" s="35">
        <v>91533</v>
      </c>
      <c r="D417" s="448" t="s">
        <v>711</v>
      </c>
      <c r="E417" s="449"/>
      <c r="F417" s="35" t="s">
        <v>497</v>
      </c>
      <c r="G417" s="92">
        <v>9.4E-2</v>
      </c>
      <c r="H417" s="93">
        <v>23.45</v>
      </c>
      <c r="I417" s="100">
        <f t="shared" si="180"/>
        <v>2.2042999999999999</v>
      </c>
      <c r="J417" s="94">
        <v>0.24229999999999999</v>
      </c>
      <c r="K417" s="100">
        <f t="shared" si="181"/>
        <v>0.53410188999999997</v>
      </c>
      <c r="L417" s="95">
        <f t="shared" si="182"/>
        <v>2.74</v>
      </c>
      <c r="M417" s="14"/>
      <c r="N417" s="11"/>
      <c r="O417" s="11"/>
      <c r="P417" s="11"/>
      <c r="Q417" s="11"/>
    </row>
    <row r="418" spans="1:17" ht="15.75" customHeight="1">
      <c r="A418" s="11"/>
      <c r="B418" s="33"/>
      <c r="C418" s="35">
        <v>91534</v>
      </c>
      <c r="D418" s="448" t="s">
        <v>712</v>
      </c>
      <c r="E418" s="449"/>
      <c r="F418" s="35" t="s">
        <v>532</v>
      </c>
      <c r="G418" s="92">
        <v>8.6999999999999994E-2</v>
      </c>
      <c r="H418" s="93">
        <v>17.440000000000001</v>
      </c>
      <c r="I418" s="100">
        <f t="shared" si="180"/>
        <v>1.51728</v>
      </c>
      <c r="J418" s="94">
        <v>0.24229999999999999</v>
      </c>
      <c r="K418" s="100">
        <f t="shared" si="181"/>
        <v>0.36763694399999997</v>
      </c>
      <c r="L418" s="95">
        <f t="shared" si="182"/>
        <v>1.88</v>
      </c>
      <c r="M418" s="14"/>
      <c r="N418" s="11"/>
      <c r="O418" s="11"/>
      <c r="P418" s="11"/>
      <c r="Q418" s="11"/>
    </row>
    <row r="419" spans="1:17" ht="15.75" customHeight="1">
      <c r="A419" s="11"/>
      <c r="B419" s="33"/>
      <c r="C419" s="35">
        <v>95606</v>
      </c>
      <c r="D419" s="448" t="s">
        <v>713</v>
      </c>
      <c r="E419" s="449"/>
      <c r="F419" s="35" t="s">
        <v>501</v>
      </c>
      <c r="G419" s="92">
        <v>1</v>
      </c>
      <c r="H419" s="93">
        <v>1.96</v>
      </c>
      <c r="I419" s="100">
        <f t="shared" si="180"/>
        <v>1.96</v>
      </c>
      <c r="J419" s="94">
        <v>0.24229999999999999</v>
      </c>
      <c r="K419" s="100">
        <f t="shared" si="181"/>
        <v>0.47490799999999994</v>
      </c>
      <c r="L419" s="95">
        <f t="shared" si="182"/>
        <v>2.4300000000000002</v>
      </c>
      <c r="M419" s="14"/>
      <c r="N419" s="11"/>
      <c r="O419" s="11"/>
      <c r="P419" s="11"/>
      <c r="Q419" s="11"/>
    </row>
    <row r="420" spans="1:17" ht="15.75" customHeight="1">
      <c r="A420" s="11"/>
      <c r="B420" s="467"/>
      <c r="C420" s="364"/>
      <c r="D420" s="364"/>
      <c r="E420" s="364"/>
      <c r="F420" s="364"/>
      <c r="G420" s="364"/>
      <c r="H420" s="364"/>
      <c r="I420" s="364"/>
      <c r="J420" s="365"/>
      <c r="K420" s="103" t="s">
        <v>526</v>
      </c>
      <c r="L420" s="104">
        <f>SUM(L414:L419)</f>
        <v>21.220000000000002</v>
      </c>
      <c r="M420" s="14"/>
      <c r="N420" s="11"/>
      <c r="O420" s="11"/>
      <c r="P420" s="11"/>
      <c r="Q420" s="11"/>
    </row>
    <row r="421" spans="1:17" ht="15.75" customHeight="1">
      <c r="A421" s="11"/>
      <c r="B421" s="97" t="s">
        <v>1185</v>
      </c>
      <c r="C421" s="233">
        <v>100575</v>
      </c>
      <c r="D421" s="450" t="s">
        <v>715</v>
      </c>
      <c r="E421" s="364"/>
      <c r="F421" s="364"/>
      <c r="G421" s="364"/>
      <c r="H421" s="364"/>
      <c r="I421" s="364"/>
      <c r="J421" s="364"/>
      <c r="K421" s="364"/>
      <c r="L421" s="428"/>
      <c r="M421" s="14"/>
      <c r="N421" s="11"/>
      <c r="O421" s="11"/>
      <c r="P421" s="11"/>
      <c r="Q421" s="11"/>
    </row>
    <row r="422" spans="1:17" ht="15.75" customHeight="1">
      <c r="A422" s="11"/>
      <c r="B422" s="33"/>
      <c r="C422" s="35">
        <v>5932</v>
      </c>
      <c r="D422" s="448" t="s">
        <v>718</v>
      </c>
      <c r="E422" s="449"/>
      <c r="F422" s="35" t="s">
        <v>497</v>
      </c>
      <c r="G422" s="92">
        <v>1E-4</v>
      </c>
      <c r="H422" s="93">
        <v>212.65</v>
      </c>
      <c r="I422" s="100">
        <f t="shared" ref="I422:I424" si="183">G422*H422</f>
        <v>2.1265000000000003E-2</v>
      </c>
      <c r="J422" s="94">
        <v>0.24229999999999999</v>
      </c>
      <c r="K422" s="100">
        <f t="shared" ref="K422:K424" si="184">I422*J422</f>
        <v>5.1525095000000002E-3</v>
      </c>
      <c r="L422" s="95">
        <f t="shared" ref="L422:L424" si="185">ROUND(I422+K422,2)</f>
        <v>0.03</v>
      </c>
      <c r="M422" s="14"/>
      <c r="N422" s="11"/>
      <c r="O422" s="11"/>
      <c r="P422" s="11"/>
      <c r="Q422" s="11"/>
    </row>
    <row r="423" spans="1:17" ht="15.75" customHeight="1">
      <c r="A423" s="11"/>
      <c r="B423" s="33"/>
      <c r="C423" s="35">
        <v>5934</v>
      </c>
      <c r="D423" s="448" t="s">
        <v>719</v>
      </c>
      <c r="E423" s="449"/>
      <c r="F423" s="35" t="s">
        <v>532</v>
      </c>
      <c r="G423" s="92">
        <v>1E-3</v>
      </c>
      <c r="H423" s="93">
        <v>75.81</v>
      </c>
      <c r="I423" s="100">
        <f t="shared" si="183"/>
        <v>7.5810000000000002E-2</v>
      </c>
      <c r="J423" s="94">
        <v>0.24229999999999999</v>
      </c>
      <c r="K423" s="100">
        <f t="shared" si="184"/>
        <v>1.8368763E-2</v>
      </c>
      <c r="L423" s="95">
        <f t="shared" si="185"/>
        <v>0.09</v>
      </c>
      <c r="M423" s="14"/>
      <c r="N423" s="11"/>
      <c r="O423" s="11"/>
      <c r="P423" s="11"/>
      <c r="Q423" s="11"/>
    </row>
    <row r="424" spans="1:17" ht="15.75" customHeight="1">
      <c r="A424" s="11"/>
      <c r="B424" s="33"/>
      <c r="C424" s="35">
        <v>88316</v>
      </c>
      <c r="D424" s="448" t="s">
        <v>529</v>
      </c>
      <c r="E424" s="449"/>
      <c r="F424" s="35" t="s">
        <v>528</v>
      </c>
      <c r="G424" s="92">
        <v>1E-3</v>
      </c>
      <c r="H424" s="93">
        <v>17.39</v>
      </c>
      <c r="I424" s="100">
        <f t="shared" si="183"/>
        <v>1.7389999999999999E-2</v>
      </c>
      <c r="J424" s="94">
        <v>0.24229999999999999</v>
      </c>
      <c r="K424" s="100">
        <f t="shared" si="184"/>
        <v>4.2135969999999995E-3</v>
      </c>
      <c r="L424" s="95">
        <f t="shared" si="185"/>
        <v>0.02</v>
      </c>
      <c r="M424" s="14"/>
      <c r="N424" s="11"/>
      <c r="O424" s="11"/>
      <c r="P424" s="11"/>
      <c r="Q424" s="11"/>
    </row>
    <row r="425" spans="1:17" ht="15.75" customHeight="1">
      <c r="A425" s="11"/>
      <c r="B425" s="456"/>
      <c r="C425" s="364"/>
      <c r="D425" s="364"/>
      <c r="E425" s="364"/>
      <c r="F425" s="364"/>
      <c r="G425" s="364"/>
      <c r="H425" s="364"/>
      <c r="I425" s="364"/>
      <c r="J425" s="365"/>
      <c r="K425" s="103" t="s">
        <v>526</v>
      </c>
      <c r="L425" s="104">
        <f>SUM(L422:L424)</f>
        <v>0.13999999999999999</v>
      </c>
      <c r="M425" s="14"/>
      <c r="N425" s="11"/>
      <c r="O425" s="11"/>
      <c r="P425" s="11"/>
      <c r="Q425" s="11"/>
    </row>
    <row r="426" spans="1:17" ht="24.75" customHeight="1">
      <c r="A426" s="11"/>
      <c r="B426" s="159" t="s">
        <v>1186</v>
      </c>
      <c r="C426" s="237" t="s">
        <v>720</v>
      </c>
      <c r="D426" s="477" t="s">
        <v>717</v>
      </c>
      <c r="E426" s="478"/>
      <c r="F426" s="478"/>
      <c r="G426" s="478"/>
      <c r="H426" s="478"/>
      <c r="I426" s="478"/>
      <c r="J426" s="478"/>
      <c r="K426" s="478"/>
      <c r="L426" s="479"/>
      <c r="M426" s="14"/>
      <c r="N426" s="11"/>
      <c r="O426" s="11"/>
      <c r="P426" s="11"/>
      <c r="Q426" s="11"/>
    </row>
    <row r="427" spans="1:17" ht="24.75" customHeight="1">
      <c r="A427" s="11"/>
      <c r="B427" s="33"/>
      <c r="C427" s="35" t="s">
        <v>721</v>
      </c>
      <c r="D427" s="448" t="s">
        <v>722</v>
      </c>
      <c r="E427" s="449"/>
      <c r="F427" s="35" t="s">
        <v>497</v>
      </c>
      <c r="G427" s="236">
        <v>5.5372901886139476E-3</v>
      </c>
      <c r="H427" s="100">
        <v>246.86060000000001</v>
      </c>
      <c r="I427" s="100">
        <f t="shared" ref="I427:I435" si="186">G427*H427</f>
        <v>1.3669387783353524</v>
      </c>
      <c r="J427" s="94">
        <v>0.24229999999999999</v>
      </c>
      <c r="K427" s="100">
        <f t="shared" ref="K427:K435" si="187">I427*J427</f>
        <v>0.33120926599065587</v>
      </c>
      <c r="L427" s="95">
        <f t="shared" ref="L427:L436" si="188">ROUND(I427+K427,2)</f>
        <v>1.7</v>
      </c>
      <c r="M427" s="14"/>
      <c r="N427" s="11"/>
      <c r="O427" s="11"/>
      <c r="P427" s="11"/>
      <c r="Q427" s="11"/>
    </row>
    <row r="428" spans="1:17" ht="24.75" customHeight="1">
      <c r="A428" s="11"/>
      <c r="B428" s="33"/>
      <c r="C428" s="35" t="s">
        <v>721</v>
      </c>
      <c r="D428" s="448" t="s">
        <v>722</v>
      </c>
      <c r="E428" s="449"/>
      <c r="F428" s="35" t="s">
        <v>532</v>
      </c>
      <c r="G428" s="236">
        <v>3.1147257310953453E-3</v>
      </c>
      <c r="H428" s="100">
        <v>68.438199999999995</v>
      </c>
      <c r="I428" s="100">
        <f t="shared" si="186"/>
        <v>0.21316622252984946</v>
      </c>
      <c r="J428" s="94">
        <v>0.24229999999999999</v>
      </c>
      <c r="K428" s="100">
        <f t="shared" si="187"/>
        <v>5.1650175718982519E-2</v>
      </c>
      <c r="L428" s="95">
        <f t="shared" si="188"/>
        <v>0.26</v>
      </c>
      <c r="M428" s="14"/>
      <c r="N428" s="11"/>
      <c r="O428" s="11"/>
      <c r="P428" s="11"/>
      <c r="Q428" s="11"/>
    </row>
    <row r="429" spans="1:17" ht="24.75" customHeight="1">
      <c r="A429" s="11"/>
      <c r="B429" s="33"/>
      <c r="C429" s="35" t="s">
        <v>723</v>
      </c>
      <c r="D429" s="448" t="s">
        <v>724</v>
      </c>
      <c r="E429" s="449"/>
      <c r="F429" s="35" t="s">
        <v>497</v>
      </c>
      <c r="G429" s="236">
        <v>6.3159716213877833E-3</v>
      </c>
      <c r="H429" s="100">
        <v>284.30779999999999</v>
      </c>
      <c r="I429" s="100">
        <f t="shared" si="186"/>
        <v>1.7956799965391936</v>
      </c>
      <c r="J429" s="94">
        <v>0.24229999999999999</v>
      </c>
      <c r="K429" s="100">
        <f t="shared" si="187"/>
        <v>0.43509326316144659</v>
      </c>
      <c r="L429" s="95">
        <f t="shared" si="188"/>
        <v>2.23</v>
      </c>
      <c r="M429" s="14"/>
      <c r="N429" s="11"/>
      <c r="O429" s="11"/>
      <c r="P429" s="11"/>
      <c r="Q429" s="11"/>
    </row>
    <row r="430" spans="1:17" ht="24.75" customHeight="1">
      <c r="A430" s="11"/>
      <c r="B430" s="33"/>
      <c r="C430" s="35" t="s">
        <v>723</v>
      </c>
      <c r="D430" s="448" t="s">
        <v>724</v>
      </c>
      <c r="E430" s="449"/>
      <c r="F430" s="35" t="s">
        <v>532</v>
      </c>
      <c r="G430" s="236">
        <v>2.3360442983215092E-3</v>
      </c>
      <c r="H430" s="100">
        <v>121.7153</v>
      </c>
      <c r="I430" s="100">
        <f t="shared" si="186"/>
        <v>0.284332332583492</v>
      </c>
      <c r="J430" s="94">
        <v>0.24229999999999999</v>
      </c>
      <c r="K430" s="100">
        <f t="shared" si="187"/>
        <v>6.8893724184980104E-2</v>
      </c>
      <c r="L430" s="95">
        <f t="shared" si="188"/>
        <v>0.35</v>
      </c>
      <c r="M430" s="14"/>
      <c r="N430" s="11"/>
      <c r="O430" s="11"/>
      <c r="P430" s="11"/>
      <c r="Q430" s="11"/>
    </row>
    <row r="431" spans="1:17" ht="24.75" customHeight="1">
      <c r="A431" s="11"/>
      <c r="B431" s="33"/>
      <c r="C431" s="35" t="s">
        <v>725</v>
      </c>
      <c r="D431" s="448" t="s">
        <v>726</v>
      </c>
      <c r="E431" s="449"/>
      <c r="F431" s="35" t="s">
        <v>497</v>
      </c>
      <c r="G431" s="236">
        <v>8.6520159197092921E-3</v>
      </c>
      <c r="H431" s="100">
        <v>243.82050000000001</v>
      </c>
      <c r="I431" s="100">
        <f t="shared" si="186"/>
        <v>2.1095388475514794</v>
      </c>
      <c r="J431" s="94">
        <v>0.24229999999999999</v>
      </c>
      <c r="K431" s="100">
        <f t="shared" si="187"/>
        <v>0.51114126276172345</v>
      </c>
      <c r="L431" s="95">
        <f t="shared" si="188"/>
        <v>2.62</v>
      </c>
      <c r="M431" s="14"/>
      <c r="N431" s="11"/>
      <c r="O431" s="11"/>
      <c r="P431" s="11"/>
      <c r="Q431" s="11"/>
    </row>
    <row r="432" spans="1:17" ht="24.75" customHeight="1">
      <c r="A432" s="11"/>
      <c r="B432" s="33"/>
      <c r="C432" s="35" t="s">
        <v>725</v>
      </c>
      <c r="D432" s="448" t="s">
        <v>726</v>
      </c>
      <c r="E432" s="449"/>
      <c r="F432" s="35" t="s">
        <v>532</v>
      </c>
      <c r="G432" s="236">
        <v>0</v>
      </c>
      <c r="H432" s="100">
        <v>116.17270000000001</v>
      </c>
      <c r="I432" s="100">
        <f t="shared" si="186"/>
        <v>0</v>
      </c>
      <c r="J432" s="94">
        <v>0.24229999999999999</v>
      </c>
      <c r="K432" s="100">
        <f t="shared" si="187"/>
        <v>0</v>
      </c>
      <c r="L432" s="95">
        <f t="shared" si="188"/>
        <v>0</v>
      </c>
      <c r="M432" s="14"/>
      <c r="N432" s="11"/>
      <c r="O432" s="11"/>
      <c r="P432" s="11"/>
      <c r="Q432" s="11"/>
    </row>
    <row r="433" spans="1:17" ht="24.75" customHeight="1">
      <c r="A433" s="11"/>
      <c r="B433" s="33"/>
      <c r="C433" s="35" t="s">
        <v>706</v>
      </c>
      <c r="D433" s="448" t="s">
        <v>707</v>
      </c>
      <c r="E433" s="449"/>
      <c r="F433" s="35" t="s">
        <v>528</v>
      </c>
      <c r="G433" s="236">
        <v>8.6520159197092921E-3</v>
      </c>
      <c r="H433" s="100">
        <v>18.4068</v>
      </c>
      <c r="I433" s="100">
        <f t="shared" si="186"/>
        <v>0.15925592663090501</v>
      </c>
      <c r="J433" s="94">
        <v>0.24229999999999999</v>
      </c>
      <c r="K433" s="100">
        <f t="shared" si="187"/>
        <v>3.8587711022668281E-2</v>
      </c>
      <c r="L433" s="95">
        <f t="shared" si="188"/>
        <v>0.2</v>
      </c>
      <c r="M433" s="14"/>
      <c r="N433" s="11"/>
      <c r="O433" s="11"/>
      <c r="P433" s="11"/>
      <c r="Q433" s="11"/>
    </row>
    <row r="434" spans="1:17" ht="24.75" customHeight="1">
      <c r="A434" s="11"/>
      <c r="B434" s="33"/>
      <c r="C434" s="35">
        <v>4016096</v>
      </c>
      <c r="D434" s="448" t="s">
        <v>702</v>
      </c>
      <c r="E434" s="449"/>
      <c r="F434" s="35" t="s">
        <v>490</v>
      </c>
      <c r="G434" s="236">
        <v>1.1002700000000001</v>
      </c>
      <c r="H434" s="100">
        <v>1.51</v>
      </c>
      <c r="I434" s="100">
        <f t="shared" si="186"/>
        <v>1.6614077</v>
      </c>
      <c r="J434" s="94">
        <v>0.24229999999999999</v>
      </c>
      <c r="K434" s="100">
        <f t="shared" si="187"/>
        <v>0.40255908570999999</v>
      </c>
      <c r="L434" s="95">
        <f t="shared" si="188"/>
        <v>2.06</v>
      </c>
      <c r="M434" s="14"/>
      <c r="N434" s="11"/>
      <c r="O434" s="11"/>
      <c r="P434" s="11"/>
      <c r="Q434" s="11"/>
    </row>
    <row r="435" spans="1:17" ht="35.25" customHeight="1">
      <c r="A435" s="11"/>
      <c r="B435" s="33"/>
      <c r="C435" s="304">
        <v>5914353</v>
      </c>
      <c r="D435" s="448" t="s">
        <v>727</v>
      </c>
      <c r="E435" s="449"/>
      <c r="F435" s="35" t="s">
        <v>659</v>
      </c>
      <c r="G435" s="238">
        <v>2.0630099999999998</v>
      </c>
      <c r="H435" s="100">
        <v>1.48</v>
      </c>
      <c r="I435" s="100">
        <f t="shared" si="186"/>
        <v>3.0532547999999995</v>
      </c>
      <c r="J435" s="94">
        <v>0.24229999999999999</v>
      </c>
      <c r="K435" s="100">
        <f t="shared" si="187"/>
        <v>0.73980363803999982</v>
      </c>
      <c r="L435" s="95">
        <f t="shared" si="188"/>
        <v>3.79</v>
      </c>
      <c r="M435" s="14"/>
      <c r="N435" s="11"/>
      <c r="O435" s="11"/>
      <c r="P435" s="11"/>
      <c r="Q435" s="11"/>
    </row>
    <row r="436" spans="1:17" ht="23.25" customHeight="1">
      <c r="A436" s="11"/>
      <c r="B436" s="160"/>
      <c r="C436" s="35"/>
      <c r="D436" s="448" t="s">
        <v>708</v>
      </c>
      <c r="E436" s="449"/>
      <c r="F436" s="35" t="s">
        <v>481</v>
      </c>
      <c r="G436" s="105">
        <v>1</v>
      </c>
      <c r="H436" s="100">
        <v>7.51E-2</v>
      </c>
      <c r="I436" s="100">
        <f t="shared" ref="I436" si="189">G436*H436</f>
        <v>7.51E-2</v>
      </c>
      <c r="J436" s="94">
        <v>0.24229999999999999</v>
      </c>
      <c r="K436" s="100">
        <f t="shared" ref="K436" si="190">I436*J436</f>
        <v>1.8196729999999998E-2</v>
      </c>
      <c r="L436" s="95">
        <f t="shared" si="188"/>
        <v>0.09</v>
      </c>
      <c r="M436" s="14"/>
      <c r="N436" s="11"/>
      <c r="O436" s="11"/>
      <c r="P436" s="11"/>
      <c r="Q436" s="11"/>
    </row>
    <row r="437" spans="1:17" ht="15.75" customHeight="1">
      <c r="A437" s="11"/>
      <c r="B437" s="468"/>
      <c r="C437" s="469"/>
      <c r="D437" s="469"/>
      <c r="E437" s="469"/>
      <c r="F437" s="469"/>
      <c r="G437" s="469"/>
      <c r="H437" s="469"/>
      <c r="I437" s="469"/>
      <c r="J437" s="470"/>
      <c r="K437" s="103" t="s">
        <v>526</v>
      </c>
      <c r="L437" s="104">
        <f>SUM(L427:L436)</f>
        <v>13.3</v>
      </c>
      <c r="M437" s="14"/>
      <c r="N437" s="11"/>
      <c r="O437" s="11"/>
      <c r="P437" s="11"/>
      <c r="Q437" s="11"/>
    </row>
    <row r="438" spans="1:17" ht="23.25" customHeight="1">
      <c r="A438" s="11"/>
      <c r="B438" s="159" t="s">
        <v>1187</v>
      </c>
      <c r="C438" s="237" t="s">
        <v>802</v>
      </c>
      <c r="D438" s="477" t="s">
        <v>801</v>
      </c>
      <c r="E438" s="478" t="s">
        <v>658</v>
      </c>
      <c r="F438" s="478" t="s">
        <v>666</v>
      </c>
      <c r="G438" s="478"/>
      <c r="H438" s="478"/>
      <c r="I438" s="478"/>
      <c r="J438" s="478"/>
      <c r="K438" s="478"/>
      <c r="L438" s="479"/>
      <c r="M438" s="14"/>
      <c r="N438" s="11"/>
      <c r="O438" s="11"/>
      <c r="P438" s="11"/>
      <c r="Q438" s="11"/>
    </row>
    <row r="439" spans="1:17" ht="23.25" customHeight="1">
      <c r="A439" s="11"/>
      <c r="B439" s="160"/>
      <c r="C439" s="35" t="s">
        <v>728</v>
      </c>
      <c r="D439" s="448" t="s">
        <v>732</v>
      </c>
      <c r="E439" s="365"/>
      <c r="F439" s="35" t="s">
        <v>497</v>
      </c>
      <c r="G439" s="105">
        <v>5.332292885940954E-3</v>
      </c>
      <c r="H439" s="100">
        <v>321.80119999999999</v>
      </c>
      <c r="I439" s="100">
        <f t="shared" ref="I439:I450" si="191">G439*H439</f>
        <v>1.7159382494472621</v>
      </c>
      <c r="J439" s="94">
        <v>0.24229999999999999</v>
      </c>
      <c r="K439" s="100">
        <f t="shared" ref="K439:K450" si="192">I439*J439</f>
        <v>0.41577183784107158</v>
      </c>
      <c r="L439" s="95">
        <f t="shared" ref="L439:L450" si="193">ROUND(I439+K439,2)</f>
        <v>2.13</v>
      </c>
      <c r="M439" s="14"/>
      <c r="N439" s="11"/>
      <c r="O439" s="11"/>
      <c r="P439" s="11"/>
      <c r="Q439" s="11"/>
    </row>
    <row r="440" spans="1:17" ht="23.25" customHeight="1">
      <c r="A440" s="11"/>
      <c r="B440" s="160"/>
      <c r="C440" s="35" t="s">
        <v>728</v>
      </c>
      <c r="D440" s="448" t="s">
        <v>732</v>
      </c>
      <c r="E440" s="365"/>
      <c r="F440" s="35" t="s">
        <v>532</v>
      </c>
      <c r="G440" s="105">
        <v>7.6732995187930803E-3</v>
      </c>
      <c r="H440" s="100">
        <v>80.150199999999998</v>
      </c>
      <c r="I440" s="100">
        <f t="shared" si="191"/>
        <v>0.61501649109116918</v>
      </c>
      <c r="J440" s="94">
        <v>0.24229999999999999</v>
      </c>
      <c r="K440" s="100">
        <f t="shared" si="192"/>
        <v>0.14901849579139029</v>
      </c>
      <c r="L440" s="95">
        <f t="shared" si="193"/>
        <v>0.76</v>
      </c>
      <c r="M440" s="14"/>
      <c r="N440" s="11"/>
      <c r="O440" s="11"/>
      <c r="P440" s="11"/>
      <c r="Q440" s="11"/>
    </row>
    <row r="441" spans="1:17" ht="23.25" customHeight="1">
      <c r="A441" s="11"/>
      <c r="B441" s="160"/>
      <c r="C441" s="35" t="s">
        <v>729</v>
      </c>
      <c r="D441" s="448" t="s">
        <v>733</v>
      </c>
      <c r="E441" s="365"/>
      <c r="F441" s="35" t="s">
        <v>497</v>
      </c>
      <c r="G441" s="105">
        <v>3.1213421771361686E-3</v>
      </c>
      <c r="H441" s="100">
        <v>4.8848000000000003</v>
      </c>
      <c r="I441" s="100">
        <f t="shared" si="191"/>
        <v>1.5247132266874757E-2</v>
      </c>
      <c r="J441" s="94">
        <v>0.24229999999999999</v>
      </c>
      <c r="K441" s="100">
        <f t="shared" si="192"/>
        <v>3.6943801482637534E-3</v>
      </c>
      <c r="L441" s="95">
        <f t="shared" si="193"/>
        <v>0.02</v>
      </c>
      <c r="M441" s="14"/>
      <c r="N441" s="11"/>
      <c r="O441" s="11"/>
      <c r="P441" s="11"/>
      <c r="Q441" s="11"/>
    </row>
    <row r="442" spans="1:17" ht="23.25" customHeight="1">
      <c r="A442" s="11"/>
      <c r="B442" s="160"/>
      <c r="C442" s="35" t="s">
        <v>729</v>
      </c>
      <c r="D442" s="448" t="s">
        <v>733</v>
      </c>
      <c r="E442" s="365"/>
      <c r="F442" s="35" t="s">
        <v>532</v>
      </c>
      <c r="G442" s="105">
        <v>9.8842502275978666E-3</v>
      </c>
      <c r="H442" s="100">
        <v>3.4016999999999999</v>
      </c>
      <c r="I442" s="100">
        <f t="shared" si="191"/>
        <v>3.3623253999219664E-2</v>
      </c>
      <c r="J442" s="94">
        <v>0.24229999999999999</v>
      </c>
      <c r="K442" s="100">
        <f t="shared" si="192"/>
        <v>8.1469144440109234E-3</v>
      </c>
      <c r="L442" s="95">
        <f t="shared" si="193"/>
        <v>0.04</v>
      </c>
      <c r="M442" s="14"/>
      <c r="N442" s="11"/>
      <c r="O442" s="11"/>
      <c r="P442" s="11"/>
      <c r="Q442" s="11"/>
    </row>
    <row r="443" spans="1:17" ht="23.25" customHeight="1">
      <c r="A443" s="11"/>
      <c r="B443" s="160"/>
      <c r="C443" s="35" t="s">
        <v>723</v>
      </c>
      <c r="D443" s="448" t="s">
        <v>724</v>
      </c>
      <c r="E443" s="365"/>
      <c r="F443" s="35" t="s">
        <v>497</v>
      </c>
      <c r="G443" s="105">
        <v>1.6907270126154247E-3</v>
      </c>
      <c r="H443" s="100">
        <v>284.30779999999999</v>
      </c>
      <c r="I443" s="100">
        <f t="shared" si="191"/>
        <v>0.48068687735726362</v>
      </c>
      <c r="J443" s="94">
        <v>0.24229999999999999</v>
      </c>
      <c r="K443" s="100">
        <f t="shared" si="192"/>
        <v>0.11647043038366497</v>
      </c>
      <c r="L443" s="95">
        <f t="shared" si="193"/>
        <v>0.6</v>
      </c>
      <c r="M443" s="14"/>
      <c r="N443" s="11"/>
      <c r="O443" s="11"/>
      <c r="P443" s="11"/>
      <c r="Q443" s="11"/>
    </row>
    <row r="444" spans="1:17" ht="23.25" customHeight="1">
      <c r="A444" s="11"/>
      <c r="B444" s="160"/>
      <c r="C444" s="35" t="s">
        <v>723</v>
      </c>
      <c r="D444" s="448" t="s">
        <v>724</v>
      </c>
      <c r="E444" s="365"/>
      <c r="F444" s="35" t="s">
        <v>532</v>
      </c>
      <c r="G444" s="105">
        <v>1.131486539211861E-2</v>
      </c>
      <c r="H444" s="100">
        <v>121.7153</v>
      </c>
      <c r="I444" s="100">
        <f t="shared" si="191"/>
        <v>1.3771922356613342</v>
      </c>
      <c r="J444" s="94">
        <v>0.24229999999999999</v>
      </c>
      <c r="K444" s="100">
        <f t="shared" si="192"/>
        <v>0.33369367870074124</v>
      </c>
      <c r="L444" s="95">
        <f t="shared" si="193"/>
        <v>1.71</v>
      </c>
      <c r="M444" s="14"/>
      <c r="N444" s="11"/>
      <c r="O444" s="11"/>
      <c r="P444" s="11"/>
      <c r="Q444" s="11"/>
    </row>
    <row r="445" spans="1:17" ht="23.25" customHeight="1">
      <c r="A445" s="11"/>
      <c r="B445" s="160"/>
      <c r="C445" s="35" t="s">
        <v>730</v>
      </c>
      <c r="D445" s="448" t="s">
        <v>734</v>
      </c>
      <c r="E445" s="365"/>
      <c r="F445" s="35" t="s">
        <v>497</v>
      </c>
      <c r="G445" s="105">
        <v>1.3005592404734036E-2</v>
      </c>
      <c r="H445" s="100">
        <v>194.35380000000001</v>
      </c>
      <c r="I445" s="100">
        <f t="shared" si="191"/>
        <v>2.5276863051111982</v>
      </c>
      <c r="J445" s="94">
        <v>0.24229999999999999</v>
      </c>
      <c r="K445" s="100">
        <f t="shared" si="192"/>
        <v>0.6124583917284433</v>
      </c>
      <c r="L445" s="95">
        <f t="shared" si="193"/>
        <v>3.14</v>
      </c>
      <c r="M445" s="14"/>
      <c r="N445" s="11"/>
      <c r="O445" s="11"/>
      <c r="P445" s="11"/>
      <c r="Q445" s="11"/>
    </row>
    <row r="446" spans="1:17" ht="23.25" customHeight="1">
      <c r="A446" s="11"/>
      <c r="B446" s="160"/>
      <c r="C446" s="35" t="s">
        <v>730</v>
      </c>
      <c r="D446" s="448" t="s">
        <v>734</v>
      </c>
      <c r="E446" s="365"/>
      <c r="F446" s="35" t="s">
        <v>532</v>
      </c>
      <c r="G446" s="105">
        <v>0</v>
      </c>
      <c r="H446" s="100">
        <v>82.370699999999999</v>
      </c>
      <c r="I446" s="100">
        <f t="shared" si="191"/>
        <v>0</v>
      </c>
      <c r="J446" s="94">
        <v>0.24229999999999999</v>
      </c>
      <c r="K446" s="100">
        <f t="shared" si="192"/>
        <v>0</v>
      </c>
      <c r="L446" s="95">
        <f t="shared" si="193"/>
        <v>0</v>
      </c>
      <c r="M446" s="14"/>
      <c r="N446" s="11"/>
      <c r="O446" s="11"/>
      <c r="P446" s="11"/>
      <c r="Q446" s="11"/>
    </row>
    <row r="447" spans="1:17" ht="23.25" customHeight="1">
      <c r="A447" s="11"/>
      <c r="B447" s="160"/>
      <c r="C447" s="35" t="s">
        <v>731</v>
      </c>
      <c r="D447" s="448" t="s">
        <v>735</v>
      </c>
      <c r="E447" s="365"/>
      <c r="F447" s="35" t="s">
        <v>497</v>
      </c>
      <c r="G447" s="105">
        <v>3.1213421771361686E-3</v>
      </c>
      <c r="H447" s="100">
        <v>125.5069</v>
      </c>
      <c r="I447" s="100">
        <f t="shared" si="191"/>
        <v>0.39174998049161142</v>
      </c>
      <c r="J447" s="94">
        <v>0.24229999999999999</v>
      </c>
      <c r="K447" s="100">
        <f t="shared" si="192"/>
        <v>9.492102027311744E-2</v>
      </c>
      <c r="L447" s="95">
        <f t="shared" si="193"/>
        <v>0.49</v>
      </c>
      <c r="M447" s="14"/>
      <c r="N447" s="11"/>
      <c r="O447" s="11"/>
      <c r="P447" s="11"/>
      <c r="Q447" s="11"/>
    </row>
    <row r="448" spans="1:17" ht="23.25" customHeight="1">
      <c r="A448" s="11"/>
      <c r="B448" s="160"/>
      <c r="C448" s="35" t="s">
        <v>731</v>
      </c>
      <c r="D448" s="448" t="s">
        <v>735</v>
      </c>
      <c r="E448" s="365"/>
      <c r="F448" s="35" t="s">
        <v>532</v>
      </c>
      <c r="G448" s="105">
        <v>9.8842502275978666E-3</v>
      </c>
      <c r="H448" s="100">
        <v>40.086599999999997</v>
      </c>
      <c r="I448" s="100">
        <f t="shared" si="191"/>
        <v>0.39622598517362462</v>
      </c>
      <c r="J448" s="94">
        <v>0.24229999999999999</v>
      </c>
      <c r="K448" s="100">
        <f t="shared" si="192"/>
        <v>9.6005556207569245E-2</v>
      </c>
      <c r="L448" s="95">
        <f t="shared" si="193"/>
        <v>0.49</v>
      </c>
      <c r="M448" s="14"/>
      <c r="N448" s="11"/>
      <c r="O448" s="11"/>
      <c r="P448" s="11"/>
      <c r="Q448" s="11"/>
    </row>
    <row r="449" spans="1:17" ht="23.25" customHeight="1">
      <c r="A449" s="11"/>
      <c r="B449" s="160"/>
      <c r="C449" s="35" t="s">
        <v>706</v>
      </c>
      <c r="D449" s="448" t="s">
        <v>707</v>
      </c>
      <c r="E449" s="365"/>
      <c r="F449" s="35" t="s">
        <v>528</v>
      </c>
      <c r="G449" s="105">
        <v>1.3005592404734036E-2</v>
      </c>
      <c r="H449" s="100">
        <v>18.4068</v>
      </c>
      <c r="I449" s="100">
        <f t="shared" si="191"/>
        <v>0.23939133827545847</v>
      </c>
      <c r="J449" s="94">
        <v>0.24229999999999999</v>
      </c>
      <c r="K449" s="100">
        <f t="shared" si="192"/>
        <v>5.8004521264143585E-2</v>
      </c>
      <c r="L449" s="95">
        <f t="shared" si="193"/>
        <v>0.3</v>
      </c>
      <c r="M449" s="14"/>
      <c r="N449" s="11"/>
      <c r="O449" s="11"/>
      <c r="P449" s="11"/>
      <c r="Q449" s="11"/>
    </row>
    <row r="450" spans="1:17" ht="23.25" customHeight="1">
      <c r="A450" s="11"/>
      <c r="B450" s="160"/>
      <c r="C450" s="35"/>
      <c r="D450" s="179" t="s">
        <v>708</v>
      </c>
      <c r="E450" s="204"/>
      <c r="F450" s="35" t="s">
        <v>481</v>
      </c>
      <c r="G450" s="105">
        <v>1</v>
      </c>
      <c r="H450" s="100">
        <v>9.8699999999999996E-2</v>
      </c>
      <c r="I450" s="100">
        <f t="shared" si="191"/>
        <v>9.8699999999999996E-2</v>
      </c>
      <c r="J450" s="94">
        <v>0.24229999999999999</v>
      </c>
      <c r="K450" s="100">
        <f t="shared" si="192"/>
        <v>2.3915009999999997E-2</v>
      </c>
      <c r="L450" s="95">
        <f t="shared" si="193"/>
        <v>0.12</v>
      </c>
      <c r="M450" s="14"/>
      <c r="N450" s="11"/>
      <c r="O450" s="11"/>
      <c r="P450" s="11"/>
      <c r="Q450" s="11"/>
    </row>
    <row r="451" spans="1:17" ht="15.75" customHeight="1">
      <c r="A451" s="11"/>
      <c r="B451" s="468"/>
      <c r="C451" s="469"/>
      <c r="D451" s="469"/>
      <c r="E451" s="469"/>
      <c r="F451" s="469"/>
      <c r="G451" s="469"/>
      <c r="H451" s="469"/>
      <c r="I451" s="469"/>
      <c r="J451" s="470"/>
      <c r="K451" s="103" t="s">
        <v>526</v>
      </c>
      <c r="L451" s="104">
        <f>SUM(L439:L450)</f>
        <v>9.8000000000000007</v>
      </c>
      <c r="M451" s="14"/>
      <c r="N451" s="11"/>
      <c r="O451" s="11"/>
      <c r="P451" s="11"/>
      <c r="Q451" s="11"/>
    </row>
    <row r="452" spans="1:17" ht="15.75" customHeight="1">
      <c r="A452" s="11"/>
      <c r="B452" s="97" t="s">
        <v>495</v>
      </c>
      <c r="C452" s="98" t="s">
        <v>738</v>
      </c>
      <c r="D452" s="450" t="s">
        <v>737</v>
      </c>
      <c r="E452" s="364" t="s">
        <v>487</v>
      </c>
      <c r="F452" s="364" t="s">
        <v>666</v>
      </c>
      <c r="G452" s="364"/>
      <c r="H452" s="364"/>
      <c r="I452" s="364"/>
      <c r="J452" s="364"/>
      <c r="K452" s="364"/>
      <c r="L452" s="428"/>
      <c r="M452" s="14"/>
      <c r="N452" s="11"/>
      <c r="O452" s="11"/>
      <c r="P452" s="11"/>
      <c r="Q452" s="11"/>
    </row>
    <row r="453" spans="1:17" ht="15.75" customHeight="1">
      <c r="A453" s="11"/>
      <c r="B453" s="211"/>
      <c r="C453" s="35" t="s">
        <v>739</v>
      </c>
      <c r="D453" s="448" t="s">
        <v>740</v>
      </c>
      <c r="E453" s="365"/>
      <c r="F453" s="35" t="s">
        <v>528</v>
      </c>
      <c r="G453" s="105">
        <v>0.4</v>
      </c>
      <c r="H453" s="100">
        <v>8.57</v>
      </c>
      <c r="I453" s="100">
        <f t="shared" ref="I453:I457" si="194">G453*H453</f>
        <v>3.4280000000000004</v>
      </c>
      <c r="J453" s="94">
        <v>0.24229999999999999</v>
      </c>
      <c r="K453" s="100">
        <f t="shared" ref="K453:K457" si="195">I453*J453</f>
        <v>0.83060440000000002</v>
      </c>
      <c r="L453" s="95">
        <f t="shared" ref="L453:L458" si="196">ROUND(I453+K453,2)</f>
        <v>4.26</v>
      </c>
      <c r="M453" s="14"/>
      <c r="N453" s="11"/>
      <c r="O453" s="11"/>
      <c r="P453" s="11"/>
      <c r="Q453" s="11"/>
    </row>
    <row r="454" spans="1:17" ht="15.75" customHeight="1">
      <c r="A454" s="11"/>
      <c r="B454" s="211"/>
      <c r="C454" s="35" t="s">
        <v>741</v>
      </c>
      <c r="D454" s="448" t="s">
        <v>742</v>
      </c>
      <c r="E454" s="365"/>
      <c r="F454" s="35" t="s">
        <v>528</v>
      </c>
      <c r="G454" s="105">
        <v>0.35</v>
      </c>
      <c r="H454" s="100">
        <v>6</v>
      </c>
      <c r="I454" s="100">
        <f t="shared" si="194"/>
        <v>2.0999999999999996</v>
      </c>
      <c r="J454" s="94">
        <v>0.24229999999999999</v>
      </c>
      <c r="K454" s="100">
        <f t="shared" si="195"/>
        <v>0.50882999999999989</v>
      </c>
      <c r="L454" s="95">
        <f t="shared" si="196"/>
        <v>2.61</v>
      </c>
      <c r="M454" s="14"/>
      <c r="N454" s="11"/>
      <c r="O454" s="11"/>
      <c r="P454" s="11"/>
      <c r="Q454" s="11"/>
    </row>
    <row r="455" spans="1:17" ht="15.75" customHeight="1">
      <c r="A455" s="11"/>
      <c r="B455" s="211"/>
      <c r="C455" s="35" t="s">
        <v>743</v>
      </c>
      <c r="D455" s="448" t="s">
        <v>744</v>
      </c>
      <c r="E455" s="365"/>
      <c r="F455" s="35" t="s">
        <v>530</v>
      </c>
      <c r="G455" s="105">
        <v>0.125</v>
      </c>
      <c r="H455" s="100">
        <v>40.61</v>
      </c>
      <c r="I455" s="100">
        <f t="shared" si="194"/>
        <v>5.0762499999999999</v>
      </c>
      <c r="J455" s="94">
        <v>0.24229999999999999</v>
      </c>
      <c r="K455" s="100">
        <f t="shared" si="195"/>
        <v>1.229975375</v>
      </c>
      <c r="L455" s="95">
        <f t="shared" si="196"/>
        <v>6.31</v>
      </c>
      <c r="M455" s="14"/>
      <c r="N455" s="11"/>
      <c r="O455" s="11"/>
      <c r="P455" s="11"/>
      <c r="Q455" s="11"/>
    </row>
    <row r="456" spans="1:17" ht="15.75" customHeight="1">
      <c r="A456" s="11"/>
      <c r="B456" s="211"/>
      <c r="C456" s="35" t="s">
        <v>745</v>
      </c>
      <c r="D456" s="448" t="s">
        <v>746</v>
      </c>
      <c r="E456" s="365"/>
      <c r="F456" s="35" t="s">
        <v>528</v>
      </c>
      <c r="G456" s="105">
        <v>0.35</v>
      </c>
      <c r="H456" s="100">
        <v>3.8</v>
      </c>
      <c r="I456" s="100">
        <f t="shared" si="194"/>
        <v>1.3299999999999998</v>
      </c>
      <c r="J456" s="94">
        <v>0.24229999999999999</v>
      </c>
      <c r="K456" s="100">
        <f t="shared" si="195"/>
        <v>0.32225899999999996</v>
      </c>
      <c r="L456" s="95">
        <f t="shared" si="196"/>
        <v>1.65</v>
      </c>
      <c r="M456" s="14"/>
      <c r="N456" s="11"/>
      <c r="O456" s="11"/>
      <c r="P456" s="11"/>
      <c r="Q456" s="11"/>
    </row>
    <row r="457" spans="1:17" ht="15.75" customHeight="1">
      <c r="A457" s="11"/>
      <c r="B457" s="211"/>
      <c r="C457" s="35" t="s">
        <v>747</v>
      </c>
      <c r="D457" s="448" t="s">
        <v>748</v>
      </c>
      <c r="E457" s="365"/>
      <c r="F457" s="35" t="s">
        <v>528</v>
      </c>
      <c r="G457" s="105">
        <v>0.4</v>
      </c>
      <c r="H457" s="100">
        <v>3.87</v>
      </c>
      <c r="I457" s="100">
        <f t="shared" si="194"/>
        <v>1.548</v>
      </c>
      <c r="J457" s="94">
        <v>0.24229999999999999</v>
      </c>
      <c r="K457" s="100">
        <f t="shared" si="195"/>
        <v>0.37508039999999998</v>
      </c>
      <c r="L457" s="95">
        <f t="shared" si="196"/>
        <v>1.92</v>
      </c>
      <c r="M457" s="14"/>
      <c r="N457" s="11"/>
      <c r="O457" s="11"/>
      <c r="P457" s="11"/>
      <c r="Q457" s="11"/>
    </row>
    <row r="458" spans="1:17" ht="15.75" customHeight="1">
      <c r="A458" s="11"/>
      <c r="B458" s="211"/>
      <c r="C458" s="35"/>
      <c r="D458" s="448" t="s">
        <v>749</v>
      </c>
      <c r="E458" s="365"/>
      <c r="F458" s="35" t="s">
        <v>481</v>
      </c>
      <c r="G458" s="105">
        <v>1</v>
      </c>
      <c r="H458" s="100">
        <v>6.19</v>
      </c>
      <c r="I458" s="100">
        <f t="shared" ref="I458" si="197">G458*H458</f>
        <v>6.19</v>
      </c>
      <c r="J458" s="94">
        <v>0.24229999999999999</v>
      </c>
      <c r="K458" s="100">
        <f t="shared" ref="K458" si="198">I458*J458</f>
        <v>1.4998370000000001</v>
      </c>
      <c r="L458" s="95">
        <f t="shared" si="196"/>
        <v>7.69</v>
      </c>
      <c r="M458" s="14"/>
      <c r="N458" s="11"/>
      <c r="O458" s="11"/>
      <c r="P458" s="11"/>
      <c r="Q458" s="11"/>
    </row>
    <row r="459" spans="1:17" ht="15.75" customHeight="1">
      <c r="A459" s="11"/>
      <c r="B459" s="456"/>
      <c r="C459" s="364"/>
      <c r="D459" s="364"/>
      <c r="E459" s="364"/>
      <c r="F459" s="364"/>
      <c r="G459" s="364"/>
      <c r="H459" s="364"/>
      <c r="I459" s="364"/>
      <c r="J459" s="365"/>
      <c r="K459" s="103" t="s">
        <v>526</v>
      </c>
      <c r="L459" s="104">
        <f>SUM(L453:L458)</f>
        <v>24.44</v>
      </c>
      <c r="M459" s="14"/>
      <c r="N459" s="11"/>
      <c r="O459" s="11"/>
      <c r="P459" s="11"/>
      <c r="Q459" s="11"/>
    </row>
    <row r="460" spans="1:17" ht="15.75" customHeight="1">
      <c r="A460" s="11"/>
      <c r="B460" s="97" t="s">
        <v>496</v>
      </c>
      <c r="C460" s="98" t="s">
        <v>667</v>
      </c>
      <c r="D460" s="450" t="s">
        <v>750</v>
      </c>
      <c r="E460" s="364" t="s">
        <v>487</v>
      </c>
      <c r="F460" s="364" t="s">
        <v>666</v>
      </c>
      <c r="G460" s="364"/>
      <c r="H460" s="364"/>
      <c r="I460" s="364"/>
      <c r="J460" s="364"/>
      <c r="K460" s="364"/>
      <c r="L460" s="428"/>
      <c r="M460" s="14"/>
      <c r="N460" s="11"/>
      <c r="O460" s="11"/>
      <c r="P460" s="11"/>
      <c r="Q460" s="11"/>
    </row>
    <row r="461" spans="1:17" ht="24" customHeight="1">
      <c r="A461" s="11"/>
      <c r="B461" s="211"/>
      <c r="C461" s="35" t="s">
        <v>751</v>
      </c>
      <c r="D461" s="448" t="s">
        <v>753</v>
      </c>
      <c r="E461" s="365"/>
      <c r="F461" s="35" t="s">
        <v>528</v>
      </c>
      <c r="G461" s="105">
        <v>1</v>
      </c>
      <c r="H461" s="100">
        <v>20.77</v>
      </c>
      <c r="I461" s="100">
        <f t="shared" ref="I461:I465" si="199">G461*H461</f>
        <v>20.77</v>
      </c>
      <c r="J461" s="94">
        <v>0.24229999999999999</v>
      </c>
      <c r="K461" s="100">
        <f t="shared" ref="K461:K465" si="200">I461*J461</f>
        <v>5.0325709999999999</v>
      </c>
      <c r="L461" s="95">
        <f t="shared" ref="L461:L465" si="201">ROUND(I461+K461,2)</f>
        <v>25.8</v>
      </c>
      <c r="M461" s="14"/>
      <c r="N461" s="11"/>
      <c r="O461" s="11"/>
      <c r="P461" s="11"/>
      <c r="Q461" s="11"/>
    </row>
    <row r="462" spans="1:17" ht="27" customHeight="1">
      <c r="A462" s="11"/>
      <c r="B462" s="211"/>
      <c r="C462" s="35" t="s">
        <v>752</v>
      </c>
      <c r="D462" s="448" t="s">
        <v>754</v>
      </c>
      <c r="E462" s="365"/>
      <c r="F462" s="35" t="s">
        <v>528</v>
      </c>
      <c r="G462" s="105">
        <v>1</v>
      </c>
      <c r="H462" s="100">
        <v>15.55</v>
      </c>
      <c r="I462" s="100">
        <f t="shared" ref="I462:I464" si="202">G462*H462</f>
        <v>15.55</v>
      </c>
      <c r="J462" s="94">
        <v>0.24229999999999999</v>
      </c>
      <c r="K462" s="100">
        <f t="shared" ref="K462:K464" si="203">I462*J462</f>
        <v>3.7677649999999998</v>
      </c>
      <c r="L462" s="95">
        <f t="shared" si="201"/>
        <v>19.32</v>
      </c>
      <c r="M462" s="14"/>
      <c r="N462" s="11"/>
      <c r="O462" s="11"/>
      <c r="P462" s="11"/>
      <c r="Q462" s="11"/>
    </row>
    <row r="463" spans="1:17" ht="27" customHeight="1">
      <c r="A463" s="11"/>
      <c r="B463" s="211"/>
      <c r="C463" s="35" t="s">
        <v>755</v>
      </c>
      <c r="D463" s="448" t="s">
        <v>758</v>
      </c>
      <c r="E463" s="365"/>
      <c r="F463" s="35" t="s">
        <v>486</v>
      </c>
      <c r="G463" s="105">
        <v>8.0199999999999994E-2</v>
      </c>
      <c r="H463" s="100">
        <v>17.329999999999998</v>
      </c>
      <c r="I463" s="100">
        <f t="shared" si="202"/>
        <v>1.3898659999999998</v>
      </c>
      <c r="J463" s="94">
        <v>0.24229999999999999</v>
      </c>
      <c r="K463" s="100">
        <f t="shared" si="203"/>
        <v>0.33676453179999993</v>
      </c>
      <c r="L463" s="95">
        <f t="shared" si="201"/>
        <v>1.73</v>
      </c>
      <c r="M463" s="14"/>
      <c r="N463" s="11"/>
      <c r="O463" s="11"/>
      <c r="P463" s="11"/>
      <c r="Q463" s="11"/>
    </row>
    <row r="464" spans="1:17" ht="27" customHeight="1">
      <c r="A464" s="11"/>
      <c r="B464" s="211"/>
      <c r="C464" s="35" t="s">
        <v>756</v>
      </c>
      <c r="D464" s="448" t="s">
        <v>759</v>
      </c>
      <c r="E464" s="365"/>
      <c r="F464" s="35" t="s">
        <v>486</v>
      </c>
      <c r="G464" s="105">
        <v>3.6999999999999998E-2</v>
      </c>
      <c r="H464" s="100">
        <v>5.73</v>
      </c>
      <c r="I464" s="100">
        <f t="shared" si="202"/>
        <v>0.21201</v>
      </c>
      <c r="J464" s="94">
        <v>0.24229999999999999</v>
      </c>
      <c r="K464" s="100">
        <f t="shared" si="203"/>
        <v>5.1370023000000001E-2</v>
      </c>
      <c r="L464" s="95">
        <f t="shared" si="201"/>
        <v>0.26</v>
      </c>
      <c r="M464" s="14"/>
      <c r="N464" s="11"/>
      <c r="O464" s="11"/>
      <c r="P464" s="11"/>
      <c r="Q464" s="11"/>
    </row>
    <row r="465" spans="1:17" ht="24" customHeight="1">
      <c r="A465" s="11"/>
      <c r="B465" s="211"/>
      <c r="C465" s="35" t="s">
        <v>757</v>
      </c>
      <c r="D465" s="448" t="s">
        <v>760</v>
      </c>
      <c r="E465" s="365"/>
      <c r="F465" s="35" t="s">
        <v>487</v>
      </c>
      <c r="G465" s="105">
        <v>0.22220000000000001</v>
      </c>
      <c r="H465" s="100">
        <v>25.54</v>
      </c>
      <c r="I465" s="100">
        <f t="shared" si="199"/>
        <v>5.6749879999999999</v>
      </c>
      <c r="J465" s="94">
        <v>0.24229999999999999</v>
      </c>
      <c r="K465" s="100">
        <f t="shared" si="200"/>
        <v>1.3750495923999999</v>
      </c>
      <c r="L465" s="95">
        <f t="shared" si="201"/>
        <v>7.05</v>
      </c>
      <c r="M465" s="14"/>
      <c r="N465" s="11"/>
      <c r="O465" s="11"/>
      <c r="P465" s="11"/>
      <c r="Q465" s="11"/>
    </row>
    <row r="466" spans="1:17" ht="15.75" customHeight="1">
      <c r="A466" s="11"/>
      <c r="B466" s="456"/>
      <c r="C466" s="364"/>
      <c r="D466" s="364"/>
      <c r="E466" s="364"/>
      <c r="F466" s="364"/>
      <c r="G466" s="364"/>
      <c r="H466" s="364"/>
      <c r="I466" s="364"/>
      <c r="J466" s="365"/>
      <c r="K466" s="103" t="s">
        <v>526</v>
      </c>
      <c r="L466" s="104">
        <f>SUM(L461:L465)</f>
        <v>54.16</v>
      </c>
      <c r="M466" s="14"/>
      <c r="N466" s="11"/>
      <c r="O466" s="11"/>
      <c r="P466" s="11"/>
      <c r="Q466" s="11"/>
    </row>
    <row r="467" spans="1:17" ht="15.75" customHeight="1">
      <c r="A467" s="11"/>
      <c r="B467" s="97" t="s">
        <v>498</v>
      </c>
      <c r="C467" s="98">
        <v>89368</v>
      </c>
      <c r="D467" s="450" t="s">
        <v>531</v>
      </c>
      <c r="E467" s="364"/>
      <c r="F467" s="364"/>
      <c r="G467" s="364"/>
      <c r="H467" s="364"/>
      <c r="I467" s="364"/>
      <c r="J467" s="364"/>
      <c r="K467" s="364"/>
      <c r="L467" s="428"/>
      <c r="M467" s="14"/>
      <c r="N467" s="11"/>
      <c r="O467" s="11"/>
      <c r="P467" s="11"/>
      <c r="Q467" s="11"/>
    </row>
    <row r="468" spans="1:17" ht="15.75" customHeight="1">
      <c r="A468" s="11"/>
      <c r="B468" s="33"/>
      <c r="C468" s="35">
        <v>6117</v>
      </c>
      <c r="D468" s="448" t="s">
        <v>761</v>
      </c>
      <c r="E468" s="365"/>
      <c r="F468" s="35" t="s">
        <v>528</v>
      </c>
      <c r="G468" s="105">
        <v>1</v>
      </c>
      <c r="H468" s="35">
        <v>12.33</v>
      </c>
      <c r="I468" s="100">
        <f t="shared" ref="I468:I475" si="204">G468*H468</f>
        <v>12.33</v>
      </c>
      <c r="J468" s="94">
        <v>0.24229999999999999</v>
      </c>
      <c r="K468" s="100">
        <f t="shared" ref="K468:K475" si="205">I468*J468</f>
        <v>2.9875590000000001</v>
      </c>
      <c r="L468" s="95">
        <f t="shared" ref="L468:L475" si="206">ROUND(I468+K468,2)</f>
        <v>15.32</v>
      </c>
      <c r="M468" s="14"/>
      <c r="N468" s="11"/>
      <c r="O468" s="11"/>
      <c r="P468" s="11"/>
      <c r="Q468" s="11"/>
    </row>
    <row r="469" spans="1:17" ht="15.75" customHeight="1">
      <c r="A469" s="11"/>
      <c r="B469" s="33"/>
      <c r="C469" s="35">
        <v>37370</v>
      </c>
      <c r="D469" s="448" t="s">
        <v>762</v>
      </c>
      <c r="E469" s="365"/>
      <c r="F469" s="35" t="s">
        <v>528</v>
      </c>
      <c r="G469" s="105">
        <v>1</v>
      </c>
      <c r="H469" s="35">
        <v>1.86</v>
      </c>
      <c r="I469" s="100">
        <f t="shared" si="204"/>
        <v>1.86</v>
      </c>
      <c r="J469" s="94">
        <v>0.24229999999999999</v>
      </c>
      <c r="K469" s="100">
        <f t="shared" si="205"/>
        <v>0.45067800000000002</v>
      </c>
      <c r="L469" s="95">
        <f t="shared" si="206"/>
        <v>2.31</v>
      </c>
      <c r="M469" s="14"/>
      <c r="N469" s="11"/>
      <c r="O469" s="11"/>
      <c r="P469" s="11"/>
      <c r="Q469" s="11"/>
    </row>
    <row r="470" spans="1:17" ht="15.75" customHeight="1">
      <c r="A470" s="11"/>
      <c r="B470" s="33"/>
      <c r="C470" s="35">
        <v>37371</v>
      </c>
      <c r="D470" s="448" t="s">
        <v>763</v>
      </c>
      <c r="E470" s="365"/>
      <c r="F470" s="35" t="s">
        <v>528</v>
      </c>
      <c r="G470" s="105">
        <v>1</v>
      </c>
      <c r="H470" s="35">
        <v>0.57999999999999996</v>
      </c>
      <c r="I470" s="100">
        <f t="shared" si="204"/>
        <v>0.57999999999999996</v>
      </c>
      <c r="J470" s="94">
        <v>0.24229999999999999</v>
      </c>
      <c r="K470" s="100">
        <f t="shared" si="205"/>
        <v>0.14053399999999999</v>
      </c>
      <c r="L470" s="95">
        <f t="shared" si="206"/>
        <v>0.72</v>
      </c>
      <c r="M470" s="14"/>
      <c r="N470" s="11"/>
      <c r="O470" s="11"/>
      <c r="P470" s="11"/>
      <c r="Q470" s="11"/>
    </row>
    <row r="471" spans="1:17" ht="15.75" customHeight="1">
      <c r="A471" s="11"/>
      <c r="B471" s="33"/>
      <c r="C471" s="35">
        <v>37372</v>
      </c>
      <c r="D471" s="448" t="s">
        <v>764</v>
      </c>
      <c r="E471" s="365"/>
      <c r="F471" s="35" t="s">
        <v>528</v>
      </c>
      <c r="G471" s="105">
        <v>1</v>
      </c>
      <c r="H471" s="35">
        <v>1.1399999999999999</v>
      </c>
      <c r="I471" s="100">
        <f t="shared" ref="I471:I472" si="207">G471*H471</f>
        <v>1.1399999999999999</v>
      </c>
      <c r="J471" s="94">
        <v>0.24229999999999999</v>
      </c>
      <c r="K471" s="100">
        <f t="shared" ref="K471:K472" si="208">I471*J471</f>
        <v>0.27622199999999997</v>
      </c>
      <c r="L471" s="95">
        <f t="shared" si="206"/>
        <v>1.42</v>
      </c>
      <c r="M471" s="14"/>
      <c r="N471" s="11"/>
      <c r="O471" s="11"/>
      <c r="P471" s="11"/>
      <c r="Q471" s="11"/>
    </row>
    <row r="472" spans="1:17" ht="15.75" customHeight="1">
      <c r="A472" s="11"/>
      <c r="B472" s="33"/>
      <c r="C472" s="35">
        <v>37373</v>
      </c>
      <c r="D472" s="448" t="s">
        <v>765</v>
      </c>
      <c r="E472" s="365"/>
      <c r="F472" s="35" t="s">
        <v>528</v>
      </c>
      <c r="G472" s="105">
        <v>1</v>
      </c>
      <c r="H472" s="35">
        <v>0.01</v>
      </c>
      <c r="I472" s="100">
        <f t="shared" si="207"/>
        <v>0.01</v>
      </c>
      <c r="J472" s="94">
        <v>0.24229999999999999</v>
      </c>
      <c r="K472" s="100">
        <f t="shared" si="208"/>
        <v>2.4229999999999998E-3</v>
      </c>
      <c r="L472" s="95">
        <f t="shared" si="206"/>
        <v>0.01</v>
      </c>
      <c r="M472" s="14"/>
      <c r="N472" s="11"/>
      <c r="O472" s="11"/>
      <c r="P472" s="11"/>
      <c r="Q472" s="11"/>
    </row>
    <row r="473" spans="1:17" ht="15.75" customHeight="1">
      <c r="A473" s="11"/>
      <c r="B473" s="33"/>
      <c r="C473" s="35">
        <v>43459</v>
      </c>
      <c r="D473" s="448" t="s">
        <v>766</v>
      </c>
      <c r="E473" s="365"/>
      <c r="F473" s="35" t="s">
        <v>528</v>
      </c>
      <c r="G473" s="105">
        <v>1</v>
      </c>
      <c r="H473" s="35">
        <v>0.49</v>
      </c>
      <c r="I473" s="100">
        <f t="shared" si="204"/>
        <v>0.49</v>
      </c>
      <c r="J473" s="94">
        <v>0.24229999999999999</v>
      </c>
      <c r="K473" s="100">
        <f t="shared" si="205"/>
        <v>0.11872699999999999</v>
      </c>
      <c r="L473" s="95">
        <f t="shared" si="206"/>
        <v>0.61</v>
      </c>
      <c r="M473" s="14"/>
      <c r="N473" s="11"/>
      <c r="O473" s="11"/>
      <c r="P473" s="11"/>
      <c r="Q473" s="11"/>
    </row>
    <row r="474" spans="1:17" ht="15.75" customHeight="1">
      <c r="A474" s="11"/>
      <c r="B474" s="33"/>
      <c r="C474" s="35">
        <v>43483</v>
      </c>
      <c r="D474" s="448" t="s">
        <v>767</v>
      </c>
      <c r="E474" s="365"/>
      <c r="F474" s="35" t="s">
        <v>528</v>
      </c>
      <c r="G474" s="105">
        <v>1</v>
      </c>
      <c r="H474" s="35">
        <v>1.34</v>
      </c>
      <c r="I474" s="100">
        <f t="shared" si="204"/>
        <v>1.34</v>
      </c>
      <c r="J474" s="94">
        <v>0.24229999999999999</v>
      </c>
      <c r="K474" s="100">
        <f t="shared" si="205"/>
        <v>0.32468200000000003</v>
      </c>
      <c r="L474" s="95">
        <f t="shared" si="206"/>
        <v>1.66</v>
      </c>
      <c r="M474" s="14"/>
      <c r="N474" s="11"/>
      <c r="O474" s="11"/>
      <c r="P474" s="11"/>
      <c r="Q474" s="11"/>
    </row>
    <row r="475" spans="1:17" ht="15.75" customHeight="1">
      <c r="A475" s="11"/>
      <c r="B475" s="33"/>
      <c r="C475" s="35">
        <v>95309</v>
      </c>
      <c r="D475" s="448" t="s">
        <v>768</v>
      </c>
      <c r="E475" s="365"/>
      <c r="F475" s="35" t="s">
        <v>528</v>
      </c>
      <c r="G475" s="105">
        <v>1</v>
      </c>
      <c r="H475" s="35">
        <v>0.19</v>
      </c>
      <c r="I475" s="100">
        <f t="shared" si="204"/>
        <v>0.19</v>
      </c>
      <c r="J475" s="94">
        <v>0.24229999999999999</v>
      </c>
      <c r="K475" s="100">
        <f t="shared" si="205"/>
        <v>4.6037000000000002E-2</v>
      </c>
      <c r="L475" s="95">
        <f t="shared" si="206"/>
        <v>0.24</v>
      </c>
      <c r="M475" s="14"/>
      <c r="N475" s="11"/>
      <c r="O475" s="11"/>
      <c r="P475" s="11"/>
      <c r="Q475" s="11"/>
    </row>
    <row r="476" spans="1:17" ht="15.75" customHeight="1">
      <c r="A476" s="11"/>
      <c r="B476" s="456"/>
      <c r="C476" s="364"/>
      <c r="D476" s="364"/>
      <c r="E476" s="364"/>
      <c r="F476" s="364"/>
      <c r="G476" s="364"/>
      <c r="H476" s="364"/>
      <c r="I476" s="364"/>
      <c r="J476" s="365"/>
      <c r="K476" s="103" t="s">
        <v>526</v>
      </c>
      <c r="L476" s="104">
        <f>SUM(L468:L475)</f>
        <v>22.289999999999996</v>
      </c>
      <c r="M476" s="14"/>
      <c r="N476" s="11"/>
      <c r="O476" s="11"/>
      <c r="P476" s="11"/>
      <c r="Q476" s="11"/>
    </row>
    <row r="477" spans="1:17" ht="15.75" customHeight="1">
      <c r="A477" s="11"/>
      <c r="B477" s="160"/>
      <c r="C477" s="35"/>
      <c r="D477" s="207"/>
      <c r="E477" s="204"/>
      <c r="F477" s="35"/>
      <c r="G477" s="105"/>
      <c r="H477" s="100"/>
      <c r="I477" s="100"/>
      <c r="J477" s="101"/>
      <c r="K477" s="100"/>
      <c r="L477" s="102"/>
      <c r="M477" s="14"/>
      <c r="N477" s="11"/>
      <c r="O477" s="11"/>
      <c r="P477" s="11"/>
      <c r="Q477" s="11"/>
    </row>
    <row r="478" spans="1:17" ht="15.75" customHeight="1">
      <c r="A478" s="11"/>
      <c r="B478" s="97" t="s">
        <v>499</v>
      </c>
      <c r="C478" s="98">
        <v>88262</v>
      </c>
      <c r="D478" s="450" t="s">
        <v>527</v>
      </c>
      <c r="E478" s="364"/>
      <c r="F478" s="364"/>
      <c r="G478" s="364"/>
      <c r="H478" s="364"/>
      <c r="I478" s="364"/>
      <c r="J478" s="364"/>
      <c r="K478" s="364"/>
      <c r="L478" s="428"/>
      <c r="M478" s="14"/>
      <c r="N478" s="11"/>
      <c r="O478" s="11"/>
      <c r="P478" s="11"/>
      <c r="Q478" s="11"/>
    </row>
    <row r="479" spans="1:17" ht="15.75" customHeight="1">
      <c r="A479" s="11"/>
      <c r="B479" s="33"/>
      <c r="C479" s="35">
        <v>1213</v>
      </c>
      <c r="D479" s="448" t="s">
        <v>770</v>
      </c>
      <c r="E479" s="365"/>
      <c r="F479" s="35" t="s">
        <v>528</v>
      </c>
      <c r="G479" s="34">
        <v>1</v>
      </c>
      <c r="H479" s="35">
        <v>16.55</v>
      </c>
      <c r="I479" s="100">
        <f t="shared" ref="I479:I486" si="209">G479*H479</f>
        <v>16.55</v>
      </c>
      <c r="J479" s="94">
        <v>0.24229999999999999</v>
      </c>
      <c r="K479" s="100">
        <f t="shared" ref="K479:K486" si="210">I479*J479</f>
        <v>4.010065</v>
      </c>
      <c r="L479" s="95">
        <f t="shared" ref="L479:L486" si="211">ROUND(I479+K479,2)</f>
        <v>20.56</v>
      </c>
      <c r="M479" s="14"/>
      <c r="N479" s="11"/>
      <c r="O479" s="11"/>
      <c r="P479" s="11"/>
      <c r="Q479" s="11"/>
    </row>
    <row r="480" spans="1:17" ht="15.75" customHeight="1">
      <c r="A480" s="11"/>
      <c r="B480" s="33"/>
      <c r="C480" s="35">
        <v>37370</v>
      </c>
      <c r="D480" s="448" t="s">
        <v>762</v>
      </c>
      <c r="E480" s="365"/>
      <c r="F480" s="35" t="s">
        <v>528</v>
      </c>
      <c r="G480" s="34">
        <v>1</v>
      </c>
      <c r="H480" s="35">
        <v>1.86</v>
      </c>
      <c r="I480" s="100">
        <f t="shared" si="209"/>
        <v>1.86</v>
      </c>
      <c r="J480" s="94">
        <v>0.24229999999999999</v>
      </c>
      <c r="K480" s="100">
        <f t="shared" si="210"/>
        <v>0.45067800000000002</v>
      </c>
      <c r="L480" s="95">
        <f t="shared" si="211"/>
        <v>2.31</v>
      </c>
      <c r="M480" s="14"/>
      <c r="N480" s="11"/>
      <c r="O480" s="11"/>
      <c r="P480" s="11"/>
      <c r="Q480" s="11"/>
    </row>
    <row r="481" spans="1:17" ht="15.75" customHeight="1">
      <c r="A481" s="11"/>
      <c r="B481" s="33"/>
      <c r="C481" s="35">
        <v>37371</v>
      </c>
      <c r="D481" s="448" t="s">
        <v>763</v>
      </c>
      <c r="E481" s="365"/>
      <c r="F481" s="35" t="s">
        <v>528</v>
      </c>
      <c r="G481" s="34">
        <v>1</v>
      </c>
      <c r="H481" s="35">
        <v>0.57999999999999996</v>
      </c>
      <c r="I481" s="100">
        <f t="shared" si="209"/>
        <v>0.57999999999999996</v>
      </c>
      <c r="J481" s="94">
        <v>0.24229999999999999</v>
      </c>
      <c r="K481" s="100">
        <f t="shared" si="210"/>
        <v>0.14053399999999999</v>
      </c>
      <c r="L481" s="95">
        <f t="shared" si="211"/>
        <v>0.72</v>
      </c>
      <c r="M481" s="14"/>
      <c r="N481" s="11"/>
      <c r="O481" s="11"/>
      <c r="P481" s="11"/>
      <c r="Q481" s="11"/>
    </row>
    <row r="482" spans="1:17" ht="15.75" customHeight="1">
      <c r="A482" s="11"/>
      <c r="B482" s="33"/>
      <c r="C482" s="35">
        <v>37372</v>
      </c>
      <c r="D482" s="448" t="s">
        <v>764</v>
      </c>
      <c r="E482" s="365"/>
      <c r="F482" s="35" t="s">
        <v>528</v>
      </c>
      <c r="G482" s="34">
        <v>1</v>
      </c>
      <c r="H482" s="35">
        <v>1.1399999999999999</v>
      </c>
      <c r="I482" s="100">
        <f t="shared" ref="I482:I483" si="212">G482*H482</f>
        <v>1.1399999999999999</v>
      </c>
      <c r="J482" s="94">
        <v>0.24229999999999999</v>
      </c>
      <c r="K482" s="100">
        <f t="shared" ref="K482:K483" si="213">I482*J482</f>
        <v>0.27622199999999997</v>
      </c>
      <c r="L482" s="95">
        <f t="shared" si="211"/>
        <v>1.42</v>
      </c>
      <c r="M482" s="14"/>
      <c r="N482" s="11"/>
      <c r="O482" s="11"/>
      <c r="P482" s="11"/>
      <c r="Q482" s="11"/>
    </row>
    <row r="483" spans="1:17" ht="15.75" customHeight="1">
      <c r="A483" s="11"/>
      <c r="B483" s="33"/>
      <c r="C483" s="35">
        <v>37373</v>
      </c>
      <c r="D483" s="448" t="s">
        <v>765</v>
      </c>
      <c r="E483" s="365"/>
      <c r="F483" s="35" t="s">
        <v>528</v>
      </c>
      <c r="G483" s="34">
        <v>1</v>
      </c>
      <c r="H483" s="35">
        <v>0.01</v>
      </c>
      <c r="I483" s="100">
        <f t="shared" si="212"/>
        <v>0.01</v>
      </c>
      <c r="J483" s="94">
        <v>0.24229999999999999</v>
      </c>
      <c r="K483" s="100">
        <f t="shared" si="213"/>
        <v>2.4229999999999998E-3</v>
      </c>
      <c r="L483" s="95">
        <f t="shared" si="211"/>
        <v>0.01</v>
      </c>
      <c r="M483" s="14"/>
      <c r="N483" s="11"/>
      <c r="O483" s="11"/>
      <c r="P483" s="11"/>
      <c r="Q483" s="11"/>
    </row>
    <row r="484" spans="1:17" ht="15.75" customHeight="1">
      <c r="A484" s="11"/>
      <c r="B484" s="33"/>
      <c r="C484" s="35">
        <v>43459</v>
      </c>
      <c r="D484" s="448" t="s">
        <v>766</v>
      </c>
      <c r="E484" s="365"/>
      <c r="F484" s="35" t="s">
        <v>528</v>
      </c>
      <c r="G484" s="34">
        <v>1</v>
      </c>
      <c r="H484" s="35">
        <v>0.49</v>
      </c>
      <c r="I484" s="100">
        <f t="shared" si="209"/>
        <v>0.49</v>
      </c>
      <c r="J484" s="94">
        <v>0.24229999999999999</v>
      </c>
      <c r="K484" s="100">
        <f t="shared" si="210"/>
        <v>0.11872699999999999</v>
      </c>
      <c r="L484" s="95">
        <f t="shared" si="211"/>
        <v>0.61</v>
      </c>
      <c r="M484" s="14"/>
      <c r="N484" s="11"/>
      <c r="O484" s="11"/>
      <c r="P484" s="11"/>
      <c r="Q484" s="11"/>
    </row>
    <row r="485" spans="1:17" ht="15.75" customHeight="1">
      <c r="A485" s="11"/>
      <c r="B485" s="33"/>
      <c r="C485" s="35">
        <v>43483</v>
      </c>
      <c r="D485" s="448" t="s">
        <v>767</v>
      </c>
      <c r="E485" s="365"/>
      <c r="F485" s="35" t="s">
        <v>528</v>
      </c>
      <c r="G485" s="34">
        <v>1</v>
      </c>
      <c r="H485" s="35">
        <v>1.34</v>
      </c>
      <c r="I485" s="100">
        <f t="shared" si="209"/>
        <v>1.34</v>
      </c>
      <c r="J485" s="94">
        <v>0.24229999999999999</v>
      </c>
      <c r="K485" s="100">
        <f t="shared" si="210"/>
        <v>0.32468200000000003</v>
      </c>
      <c r="L485" s="95">
        <f t="shared" si="211"/>
        <v>1.66</v>
      </c>
      <c r="M485" s="14"/>
      <c r="N485" s="11"/>
      <c r="O485" s="11"/>
      <c r="P485" s="11"/>
      <c r="Q485" s="11"/>
    </row>
    <row r="486" spans="1:17" ht="15.75" customHeight="1">
      <c r="A486" s="11"/>
      <c r="B486" s="33"/>
      <c r="C486" s="35">
        <v>95330</v>
      </c>
      <c r="D486" s="448" t="s">
        <v>771</v>
      </c>
      <c r="E486" s="365"/>
      <c r="F486" s="35" t="s">
        <v>528</v>
      </c>
      <c r="G486" s="34">
        <v>1</v>
      </c>
      <c r="H486" s="35">
        <v>0.2</v>
      </c>
      <c r="I486" s="100">
        <f t="shared" si="209"/>
        <v>0.2</v>
      </c>
      <c r="J486" s="94">
        <v>0.24229999999999999</v>
      </c>
      <c r="K486" s="100">
        <f t="shared" si="210"/>
        <v>4.8460000000000003E-2</v>
      </c>
      <c r="L486" s="95">
        <f t="shared" si="211"/>
        <v>0.25</v>
      </c>
      <c r="M486" s="14"/>
      <c r="N486" s="11"/>
      <c r="O486" s="11"/>
      <c r="P486" s="11"/>
      <c r="Q486" s="11"/>
    </row>
    <row r="487" spans="1:17" ht="15.75" customHeight="1">
      <c r="A487" s="11"/>
      <c r="B487" s="456"/>
      <c r="C487" s="364"/>
      <c r="D487" s="364"/>
      <c r="E487" s="364"/>
      <c r="F487" s="364"/>
      <c r="G487" s="364"/>
      <c r="H487" s="364"/>
      <c r="I487" s="364"/>
      <c r="J487" s="365"/>
      <c r="K487" s="103" t="s">
        <v>526</v>
      </c>
      <c r="L487" s="104">
        <f>SUM(L479:L486)</f>
        <v>27.54</v>
      </c>
      <c r="M487" s="14"/>
      <c r="N487" s="11"/>
      <c r="O487" s="11"/>
      <c r="P487" s="11"/>
      <c r="Q487" s="11"/>
    </row>
    <row r="488" spans="1:17" ht="15.75" customHeight="1">
      <c r="A488" s="11"/>
      <c r="B488" s="97" t="s">
        <v>1188</v>
      </c>
      <c r="C488" s="98">
        <v>94971</v>
      </c>
      <c r="D488" s="450" t="s">
        <v>769</v>
      </c>
      <c r="E488" s="364"/>
      <c r="F488" s="364"/>
      <c r="G488" s="364"/>
      <c r="H488" s="364"/>
      <c r="I488" s="364"/>
      <c r="J488" s="364"/>
      <c r="K488" s="364"/>
      <c r="L488" s="428"/>
      <c r="M488" s="14"/>
      <c r="N488" s="11"/>
      <c r="O488" s="11"/>
      <c r="P488" s="11"/>
      <c r="Q488" s="11"/>
    </row>
    <row r="489" spans="1:17" ht="15.75" customHeight="1">
      <c r="A489" s="11"/>
      <c r="B489" s="33"/>
      <c r="C489" s="35">
        <v>370</v>
      </c>
      <c r="D489" s="448" t="s">
        <v>534</v>
      </c>
      <c r="E489" s="365"/>
      <c r="F489" s="35" t="s">
        <v>501</v>
      </c>
      <c r="G489" s="34">
        <v>0.72750000000000004</v>
      </c>
      <c r="H489" s="35">
        <v>65</v>
      </c>
      <c r="I489" s="100">
        <f t="shared" ref="I489:I495" si="214">G489*H489</f>
        <v>47.287500000000001</v>
      </c>
      <c r="J489" s="94">
        <v>0.24229999999999999</v>
      </c>
      <c r="K489" s="100">
        <f t="shared" ref="K489:K495" si="215">I489*J489</f>
        <v>11.457761249999999</v>
      </c>
      <c r="L489" s="95">
        <f t="shared" ref="L489:L495" si="216">ROUND(I489+K489,2)</f>
        <v>58.75</v>
      </c>
      <c r="M489" s="14"/>
      <c r="N489" s="11"/>
      <c r="O489" s="11"/>
      <c r="P489" s="11"/>
      <c r="Q489" s="11"/>
    </row>
    <row r="490" spans="1:17" ht="15.75" customHeight="1">
      <c r="A490" s="11"/>
      <c r="B490" s="33"/>
      <c r="C490" s="35">
        <v>1379</v>
      </c>
      <c r="D490" s="448" t="s">
        <v>535</v>
      </c>
      <c r="E490" s="365"/>
      <c r="F490" s="35" t="s">
        <v>500</v>
      </c>
      <c r="G490" s="34">
        <v>364.94330000000002</v>
      </c>
      <c r="H490" s="35">
        <v>0.84</v>
      </c>
      <c r="I490" s="100">
        <f t="shared" si="214"/>
        <v>306.55237199999999</v>
      </c>
      <c r="J490" s="94">
        <v>0.24229999999999999</v>
      </c>
      <c r="K490" s="100">
        <f t="shared" si="215"/>
        <v>74.27763973559999</v>
      </c>
      <c r="L490" s="95">
        <f t="shared" si="216"/>
        <v>380.83</v>
      </c>
      <c r="M490" s="14"/>
      <c r="N490" s="11"/>
      <c r="O490" s="11"/>
      <c r="P490" s="11"/>
      <c r="Q490" s="11"/>
    </row>
    <row r="491" spans="1:17" ht="15.75" customHeight="1">
      <c r="A491" s="11"/>
      <c r="B491" s="33"/>
      <c r="C491" s="35">
        <v>4721</v>
      </c>
      <c r="D491" s="448" t="s">
        <v>536</v>
      </c>
      <c r="E491" s="365"/>
      <c r="F491" s="35" t="s">
        <v>501</v>
      </c>
      <c r="G491" s="34">
        <v>0.59719999999999995</v>
      </c>
      <c r="H491" s="35">
        <v>77.39</v>
      </c>
      <c r="I491" s="100">
        <f t="shared" si="214"/>
        <v>46.217307999999996</v>
      </c>
      <c r="J491" s="94">
        <v>0.24229999999999999</v>
      </c>
      <c r="K491" s="100">
        <f t="shared" si="215"/>
        <v>11.198453728399999</v>
      </c>
      <c r="L491" s="95">
        <f t="shared" si="216"/>
        <v>57.42</v>
      </c>
      <c r="M491" s="14"/>
      <c r="N491" s="11"/>
      <c r="O491" s="11"/>
      <c r="P491" s="11"/>
      <c r="Q491" s="11"/>
    </row>
    <row r="492" spans="1:17" ht="15.75" customHeight="1">
      <c r="A492" s="11"/>
      <c r="B492" s="33"/>
      <c r="C492" s="35">
        <v>88316</v>
      </c>
      <c r="D492" s="448" t="s">
        <v>529</v>
      </c>
      <c r="E492" s="365"/>
      <c r="F492" s="35" t="s">
        <v>528</v>
      </c>
      <c r="G492" s="34">
        <v>1.9792000000000001</v>
      </c>
      <c r="H492" s="35">
        <v>17.39</v>
      </c>
      <c r="I492" s="100">
        <f t="shared" ref="I492" si="217">G492*H492</f>
        <v>34.418288000000004</v>
      </c>
      <c r="J492" s="94">
        <v>0.24229999999999999</v>
      </c>
      <c r="K492" s="100">
        <f t="shared" ref="K492" si="218">I492*J492</f>
        <v>8.339551182400001</v>
      </c>
      <c r="L492" s="95">
        <f t="shared" si="216"/>
        <v>42.76</v>
      </c>
      <c r="M492" s="14"/>
      <c r="N492" s="11"/>
      <c r="O492" s="11"/>
      <c r="P492" s="11"/>
      <c r="Q492" s="11"/>
    </row>
    <row r="493" spans="1:17" ht="15.75" customHeight="1">
      <c r="A493" s="11"/>
      <c r="B493" s="33"/>
      <c r="C493" s="35">
        <v>88377</v>
      </c>
      <c r="D493" s="448" t="s">
        <v>537</v>
      </c>
      <c r="E493" s="365"/>
      <c r="F493" s="35" t="s">
        <v>528</v>
      </c>
      <c r="G493" s="34">
        <v>1.2501</v>
      </c>
      <c r="H493" s="35">
        <v>16.37</v>
      </c>
      <c r="I493" s="100">
        <f t="shared" si="214"/>
        <v>20.464137000000001</v>
      </c>
      <c r="J493" s="94">
        <v>0.24229999999999999</v>
      </c>
      <c r="K493" s="100">
        <f t="shared" si="215"/>
        <v>4.9584603951000004</v>
      </c>
      <c r="L493" s="95">
        <f t="shared" si="216"/>
        <v>25.42</v>
      </c>
      <c r="M493" s="14"/>
      <c r="N493" s="11"/>
      <c r="O493" s="11"/>
      <c r="P493" s="11"/>
      <c r="Q493" s="11"/>
    </row>
    <row r="494" spans="1:17" ht="15.75" customHeight="1">
      <c r="A494" s="11"/>
      <c r="B494" s="33"/>
      <c r="C494" s="35">
        <v>89225</v>
      </c>
      <c r="D494" s="448" t="s">
        <v>772</v>
      </c>
      <c r="E494" s="365"/>
      <c r="F494" s="35" t="s">
        <v>497</v>
      </c>
      <c r="G494" s="34">
        <v>0.64339999999999997</v>
      </c>
      <c r="H494" s="35">
        <v>5.24</v>
      </c>
      <c r="I494" s="100">
        <f t="shared" si="214"/>
        <v>3.371416</v>
      </c>
      <c r="J494" s="94">
        <v>0.24229999999999999</v>
      </c>
      <c r="K494" s="100">
        <f t="shared" si="215"/>
        <v>0.81689409679999991</v>
      </c>
      <c r="L494" s="95">
        <f t="shared" si="216"/>
        <v>4.1900000000000004</v>
      </c>
      <c r="M494" s="14"/>
      <c r="N494" s="11"/>
      <c r="O494" s="11"/>
      <c r="P494" s="11"/>
      <c r="Q494" s="11"/>
    </row>
    <row r="495" spans="1:17" ht="15.75" customHeight="1">
      <c r="A495" s="11"/>
      <c r="B495" s="33"/>
      <c r="C495" s="35">
        <v>89226</v>
      </c>
      <c r="D495" s="448" t="s">
        <v>773</v>
      </c>
      <c r="E495" s="365"/>
      <c r="F495" s="35" t="s">
        <v>532</v>
      </c>
      <c r="G495" s="34">
        <v>0.60670000000000002</v>
      </c>
      <c r="H495" s="35">
        <v>1.58</v>
      </c>
      <c r="I495" s="100">
        <f t="shared" si="214"/>
        <v>0.95858600000000005</v>
      </c>
      <c r="J495" s="94">
        <v>0.24229999999999999</v>
      </c>
      <c r="K495" s="100">
        <f t="shared" si="215"/>
        <v>0.2322653878</v>
      </c>
      <c r="L495" s="95">
        <f t="shared" si="216"/>
        <v>1.19</v>
      </c>
      <c r="M495" s="14"/>
      <c r="N495" s="11"/>
      <c r="O495" s="11"/>
      <c r="P495" s="11"/>
      <c r="Q495" s="11"/>
    </row>
    <row r="496" spans="1:17" ht="15.75" customHeight="1">
      <c r="A496" s="11"/>
      <c r="B496" s="456"/>
      <c r="C496" s="364"/>
      <c r="D496" s="364"/>
      <c r="E496" s="364"/>
      <c r="F496" s="364"/>
      <c r="G496" s="364"/>
      <c r="H496" s="364"/>
      <c r="I496" s="364"/>
      <c r="J496" s="365"/>
      <c r="K496" s="103" t="s">
        <v>526</v>
      </c>
      <c r="L496" s="104">
        <f>SUM(L489:L495)</f>
        <v>570.56000000000006</v>
      </c>
      <c r="M496" s="14"/>
      <c r="N496" s="11"/>
      <c r="O496" s="11"/>
      <c r="P496" s="11"/>
      <c r="Q496" s="11"/>
    </row>
    <row r="497" spans="1:17" ht="15.75" customHeight="1">
      <c r="A497" s="11"/>
      <c r="B497" s="97" t="s">
        <v>1189</v>
      </c>
      <c r="C497" s="98" t="s">
        <v>879</v>
      </c>
      <c r="D497" s="450" t="s">
        <v>880</v>
      </c>
      <c r="E497" s="364"/>
      <c r="F497" s="364"/>
      <c r="G497" s="364"/>
      <c r="H497" s="364"/>
      <c r="I497" s="364"/>
      <c r="J497" s="364"/>
      <c r="K497" s="364"/>
      <c r="L497" s="428"/>
      <c r="M497" s="14"/>
      <c r="N497" s="11"/>
      <c r="O497" s="11"/>
      <c r="P497" s="11"/>
      <c r="Q497" s="11"/>
    </row>
    <row r="498" spans="1:17" ht="15.75" customHeight="1">
      <c r="A498" s="11"/>
      <c r="B498" s="33"/>
      <c r="C498" s="35"/>
      <c r="D498" s="448" t="s">
        <v>880</v>
      </c>
      <c r="E498" s="365"/>
      <c r="F498" s="35" t="s">
        <v>486</v>
      </c>
      <c r="G498" s="105">
        <v>1</v>
      </c>
      <c r="H498" s="100">
        <v>7</v>
      </c>
      <c r="I498" s="100">
        <f t="shared" ref="I498" si="219">G498*H498</f>
        <v>7</v>
      </c>
      <c r="J498" s="94">
        <v>0.24229999999999999</v>
      </c>
      <c r="K498" s="100">
        <f t="shared" ref="K498" si="220">I498*J498</f>
        <v>1.6960999999999999</v>
      </c>
      <c r="L498" s="95">
        <f t="shared" ref="L498" si="221">ROUND(I498+K498,2)</f>
        <v>8.6999999999999993</v>
      </c>
      <c r="M498" s="14"/>
      <c r="N498" s="11"/>
      <c r="O498" s="11"/>
      <c r="P498" s="11"/>
      <c r="Q498" s="11"/>
    </row>
    <row r="499" spans="1:17" ht="15.75" customHeight="1">
      <c r="A499" s="11"/>
      <c r="B499" s="456"/>
      <c r="C499" s="364"/>
      <c r="D499" s="364"/>
      <c r="E499" s="364"/>
      <c r="F499" s="364"/>
      <c r="G499" s="364"/>
      <c r="H499" s="364"/>
      <c r="I499" s="364"/>
      <c r="J499" s="365"/>
      <c r="K499" s="103" t="s">
        <v>526</v>
      </c>
      <c r="L499" s="104">
        <f>SUM(L498:L498)</f>
        <v>8.6999999999999993</v>
      </c>
      <c r="M499" s="14"/>
      <c r="N499" s="11"/>
      <c r="O499" s="11"/>
      <c r="P499" s="11"/>
      <c r="Q499" s="11"/>
    </row>
    <row r="500" spans="1:17" ht="15.75" customHeight="1">
      <c r="A500" s="11"/>
      <c r="B500" s="97" t="s">
        <v>1190</v>
      </c>
      <c r="C500" s="98" t="s">
        <v>881</v>
      </c>
      <c r="D500" s="450" t="s">
        <v>883</v>
      </c>
      <c r="E500" s="364"/>
      <c r="F500" s="364"/>
      <c r="G500" s="364"/>
      <c r="H500" s="364"/>
      <c r="I500" s="364"/>
      <c r="J500" s="364"/>
      <c r="K500" s="364"/>
      <c r="L500" s="428"/>
      <c r="M500" s="14"/>
      <c r="N500" s="11"/>
      <c r="O500" s="11"/>
      <c r="P500" s="11"/>
      <c r="Q500" s="11"/>
    </row>
    <row r="501" spans="1:17" ht="15.75" customHeight="1">
      <c r="A501" s="11"/>
      <c r="B501" s="33"/>
      <c r="C501" s="35"/>
      <c r="D501" s="448" t="s">
        <v>883</v>
      </c>
      <c r="E501" s="365"/>
      <c r="F501" s="35" t="s">
        <v>486</v>
      </c>
      <c r="G501" s="105">
        <v>1</v>
      </c>
      <c r="H501" s="100">
        <v>98.31</v>
      </c>
      <c r="I501" s="100">
        <f t="shared" ref="I501" si="222">G501*H501</f>
        <v>98.31</v>
      </c>
      <c r="J501" s="94">
        <v>0.24229999999999999</v>
      </c>
      <c r="K501" s="100">
        <f t="shared" ref="K501" si="223">I501*J501</f>
        <v>23.820512999999998</v>
      </c>
      <c r="L501" s="95">
        <f t="shared" ref="L501" si="224">ROUND(I501+K501,2)</f>
        <v>122.13</v>
      </c>
      <c r="M501" s="14"/>
      <c r="N501" s="11"/>
      <c r="O501" s="11"/>
      <c r="P501" s="11"/>
      <c r="Q501" s="11"/>
    </row>
    <row r="502" spans="1:17" ht="15.75" customHeight="1">
      <c r="A502" s="11"/>
      <c r="B502" s="456"/>
      <c r="C502" s="364"/>
      <c r="D502" s="364"/>
      <c r="E502" s="364"/>
      <c r="F502" s="364"/>
      <c r="G502" s="364"/>
      <c r="H502" s="364"/>
      <c r="I502" s="364"/>
      <c r="J502" s="365"/>
      <c r="K502" s="103" t="s">
        <v>526</v>
      </c>
      <c r="L502" s="104">
        <f>SUM(L501:L501)</f>
        <v>122.13</v>
      </c>
      <c r="M502" s="14"/>
      <c r="N502" s="11"/>
      <c r="O502" s="11"/>
      <c r="P502" s="11"/>
      <c r="Q502" s="11"/>
    </row>
    <row r="503" spans="1:17" ht="15.75" customHeight="1">
      <c r="A503" s="11"/>
      <c r="B503" s="97" t="s">
        <v>1191</v>
      </c>
      <c r="C503" s="98">
        <v>13294</v>
      </c>
      <c r="D503" s="450" t="s">
        <v>887</v>
      </c>
      <c r="E503" s="364"/>
      <c r="F503" s="364"/>
      <c r="G503" s="364"/>
      <c r="H503" s="364"/>
      <c r="I503" s="364"/>
      <c r="J503" s="364"/>
      <c r="K503" s="364"/>
      <c r="L503" s="428"/>
      <c r="M503" s="14"/>
      <c r="N503" s="11"/>
      <c r="O503" s="11"/>
      <c r="P503" s="11"/>
      <c r="Q503" s="11"/>
    </row>
    <row r="504" spans="1:17" ht="15.75" customHeight="1">
      <c r="A504" s="11"/>
      <c r="B504" s="33"/>
      <c r="C504" s="35"/>
      <c r="D504" s="448" t="s">
        <v>887</v>
      </c>
      <c r="E504" s="365"/>
      <c r="F504" s="35" t="s">
        <v>481</v>
      </c>
      <c r="G504" s="105">
        <v>1</v>
      </c>
      <c r="H504" s="100">
        <v>1.69</v>
      </c>
      <c r="I504" s="100">
        <f t="shared" ref="I504" si="225">G504*H504</f>
        <v>1.69</v>
      </c>
      <c r="J504" s="94">
        <v>0.24229999999999999</v>
      </c>
      <c r="K504" s="100">
        <f t="shared" ref="K504" si="226">I504*J504</f>
        <v>0.40948699999999999</v>
      </c>
      <c r="L504" s="95">
        <f t="shared" ref="L504" si="227">ROUND(I504+K504,2)</f>
        <v>2.1</v>
      </c>
      <c r="M504" s="14"/>
      <c r="N504" s="11"/>
      <c r="O504" s="11"/>
      <c r="P504" s="11"/>
      <c r="Q504" s="11"/>
    </row>
    <row r="505" spans="1:17" ht="15.75" customHeight="1">
      <c r="A505" s="11"/>
      <c r="B505" s="456"/>
      <c r="C505" s="364"/>
      <c r="D505" s="364"/>
      <c r="E505" s="364"/>
      <c r="F505" s="364"/>
      <c r="G505" s="364"/>
      <c r="H505" s="364"/>
      <c r="I505" s="364"/>
      <c r="J505" s="365"/>
      <c r="K505" s="103" t="s">
        <v>526</v>
      </c>
      <c r="L505" s="104">
        <f>SUM(L504:L504)</f>
        <v>2.1</v>
      </c>
      <c r="M505" s="14"/>
      <c r="N505" s="11"/>
      <c r="O505" s="11"/>
      <c r="P505" s="11"/>
      <c r="Q505" s="11"/>
    </row>
    <row r="506" spans="1:17" ht="15.75" customHeight="1">
      <c r="A506" s="11"/>
      <c r="B506" s="159" t="s">
        <v>1218</v>
      </c>
      <c r="C506" s="298" t="s">
        <v>1219</v>
      </c>
      <c r="D506" s="477" t="s">
        <v>1221</v>
      </c>
      <c r="E506" s="478"/>
      <c r="F506" s="478"/>
      <c r="G506" s="478"/>
      <c r="H506" s="478"/>
      <c r="I506" s="478"/>
      <c r="J506" s="478"/>
      <c r="K506" s="478"/>
      <c r="L506" s="479"/>
      <c r="M506" s="14"/>
      <c r="N506" s="11"/>
      <c r="O506" s="11"/>
      <c r="P506" s="11"/>
      <c r="Q506" s="11"/>
    </row>
    <row r="507" spans="1:17" ht="15.75" customHeight="1">
      <c r="A507" s="11"/>
      <c r="B507" s="160"/>
      <c r="C507" s="35" t="s">
        <v>1223</v>
      </c>
      <c r="D507" s="448" t="s">
        <v>1224</v>
      </c>
      <c r="E507" s="365"/>
      <c r="F507" s="35" t="s">
        <v>490</v>
      </c>
      <c r="G507" s="105">
        <v>1.1499999999999999</v>
      </c>
      <c r="H507" s="100">
        <v>66.06</v>
      </c>
      <c r="I507" s="100">
        <f t="shared" ref="I507:I510" si="228">G507*H507</f>
        <v>75.968999999999994</v>
      </c>
      <c r="J507" s="94">
        <v>0.24229999999999999</v>
      </c>
      <c r="K507" s="100">
        <f t="shared" ref="K507:K510" si="229">I507*J507</f>
        <v>18.407288699999999</v>
      </c>
      <c r="L507" s="95">
        <f t="shared" ref="L507:L510" si="230">ROUND(I507+K507,2)</f>
        <v>94.38</v>
      </c>
      <c r="M507" s="14"/>
      <c r="N507" s="11"/>
      <c r="O507" s="11"/>
      <c r="P507" s="11"/>
      <c r="Q507" s="11"/>
    </row>
    <row r="508" spans="1:17" ht="15.75" customHeight="1">
      <c r="A508" s="11"/>
      <c r="B508" s="160"/>
      <c r="C508" s="35" t="s">
        <v>1225</v>
      </c>
      <c r="D508" s="448" t="s">
        <v>862</v>
      </c>
      <c r="E508" s="365"/>
      <c r="F508" s="35" t="s">
        <v>528</v>
      </c>
      <c r="G508" s="105">
        <v>7</v>
      </c>
      <c r="H508" s="100">
        <v>15.55</v>
      </c>
      <c r="I508" s="100">
        <f t="shared" si="228"/>
        <v>108.85000000000001</v>
      </c>
      <c r="J508" s="94">
        <v>0.24229999999999999</v>
      </c>
      <c r="K508" s="100">
        <f t="shared" si="229"/>
        <v>26.374355000000001</v>
      </c>
      <c r="L508" s="95">
        <f t="shared" si="230"/>
        <v>135.22</v>
      </c>
      <c r="M508" s="14"/>
      <c r="N508" s="11"/>
      <c r="O508" s="11"/>
      <c r="P508" s="11"/>
      <c r="Q508" s="11"/>
    </row>
    <row r="509" spans="1:17" ht="15.75" customHeight="1">
      <c r="A509" s="11"/>
      <c r="B509" s="160"/>
      <c r="C509" s="35" t="s">
        <v>1226</v>
      </c>
      <c r="D509" s="448" t="s">
        <v>742</v>
      </c>
      <c r="E509" s="365"/>
      <c r="F509" s="35" t="s">
        <v>528</v>
      </c>
      <c r="G509" s="105">
        <v>5</v>
      </c>
      <c r="H509" s="100">
        <v>20.77</v>
      </c>
      <c r="I509" s="100">
        <f t="shared" si="228"/>
        <v>103.85</v>
      </c>
      <c r="J509" s="94">
        <v>0.24229999999999999</v>
      </c>
      <c r="K509" s="100">
        <f t="shared" si="229"/>
        <v>25.162854999999997</v>
      </c>
      <c r="L509" s="95">
        <f t="shared" si="230"/>
        <v>129.01</v>
      </c>
      <c r="M509" s="14"/>
      <c r="N509" s="11"/>
      <c r="O509" s="11"/>
      <c r="P509" s="11"/>
      <c r="Q509" s="11"/>
    </row>
    <row r="510" spans="1:17" ht="15.75" customHeight="1">
      <c r="A510" s="11"/>
      <c r="B510" s="160"/>
      <c r="C510" s="35" t="s">
        <v>1227</v>
      </c>
      <c r="D510" s="448" t="s">
        <v>1228</v>
      </c>
      <c r="E510" s="365"/>
      <c r="F510" s="35" t="s">
        <v>490</v>
      </c>
      <c r="G510" s="105">
        <v>0.3</v>
      </c>
      <c r="H510" s="100">
        <v>539.70000000000005</v>
      </c>
      <c r="I510" s="100">
        <f t="shared" si="228"/>
        <v>161.91</v>
      </c>
      <c r="J510" s="94">
        <v>0.24229999999999999</v>
      </c>
      <c r="K510" s="100">
        <f t="shared" si="229"/>
        <v>39.230792999999998</v>
      </c>
      <c r="L510" s="95">
        <f t="shared" si="230"/>
        <v>201.14</v>
      </c>
      <c r="M510" s="14"/>
      <c r="N510" s="11"/>
      <c r="O510" s="11"/>
      <c r="P510" s="11"/>
      <c r="Q510" s="11"/>
    </row>
    <row r="511" spans="1:17" ht="15.75" customHeight="1">
      <c r="A511" s="11"/>
      <c r="B511" s="468"/>
      <c r="C511" s="469"/>
      <c r="D511" s="469"/>
      <c r="E511" s="469"/>
      <c r="F511" s="469"/>
      <c r="G511" s="469"/>
      <c r="H511" s="469"/>
      <c r="I511" s="469"/>
      <c r="J511" s="470"/>
      <c r="K511" s="103" t="s">
        <v>526</v>
      </c>
      <c r="L511" s="104">
        <f>SUM(L507:L510)</f>
        <v>559.75</v>
      </c>
      <c r="M511" s="14"/>
      <c r="N511" s="11"/>
      <c r="O511" s="11"/>
      <c r="P511" s="11"/>
      <c r="Q511" s="11"/>
    </row>
    <row r="512" spans="1:17" ht="15.75" customHeight="1">
      <c r="A512" s="11"/>
      <c r="B512" s="159" t="s">
        <v>1229</v>
      </c>
      <c r="C512" s="298" t="s">
        <v>1230</v>
      </c>
      <c r="D512" s="477" t="s">
        <v>1231</v>
      </c>
      <c r="E512" s="478"/>
      <c r="F512" s="478"/>
      <c r="G512" s="478"/>
      <c r="H512" s="478"/>
      <c r="I512" s="478"/>
      <c r="J512" s="478"/>
      <c r="K512" s="478"/>
      <c r="L512" s="479"/>
      <c r="M512" s="14"/>
      <c r="N512" s="11"/>
      <c r="O512" s="11"/>
      <c r="P512" s="11"/>
      <c r="Q512" s="11"/>
    </row>
    <row r="513" spans="1:17" ht="15.75" customHeight="1">
      <c r="A513" s="11"/>
      <c r="B513" s="160"/>
      <c r="C513" s="35" t="s">
        <v>1233</v>
      </c>
      <c r="D513" s="448" t="s">
        <v>1234</v>
      </c>
      <c r="E513" s="365"/>
      <c r="F513" s="35" t="s">
        <v>490</v>
      </c>
      <c r="G513" s="105">
        <v>1</v>
      </c>
      <c r="H513" s="100">
        <v>6591.57</v>
      </c>
      <c r="I513" s="100">
        <f t="shared" ref="I513:I518" si="231">G513*H513</f>
        <v>6591.57</v>
      </c>
      <c r="J513" s="94">
        <v>0.24229999999999999</v>
      </c>
      <c r="K513" s="100">
        <f t="shared" ref="K513:K518" si="232">I513*J513</f>
        <v>1597.1374109999999</v>
      </c>
      <c r="L513" s="95">
        <f t="shared" ref="L513:L518" si="233">ROUND(I513+K513,2)</f>
        <v>8188.71</v>
      </c>
      <c r="M513" s="14"/>
      <c r="N513" s="11"/>
      <c r="O513" s="11"/>
      <c r="P513" s="11"/>
      <c r="Q513" s="11"/>
    </row>
    <row r="514" spans="1:17" ht="15.75" customHeight="1">
      <c r="A514" s="11"/>
      <c r="B514" s="160"/>
      <c r="C514" s="35" t="s">
        <v>1146</v>
      </c>
      <c r="D514" s="448" t="s">
        <v>1147</v>
      </c>
      <c r="E514" s="365"/>
      <c r="F514" s="35" t="s">
        <v>528</v>
      </c>
      <c r="G514" s="105">
        <v>6.67</v>
      </c>
      <c r="H514" s="100">
        <v>8.57</v>
      </c>
      <c r="I514" s="100">
        <f t="shared" si="231"/>
        <v>57.161900000000003</v>
      </c>
      <c r="J514" s="94">
        <v>0.24229999999999999</v>
      </c>
      <c r="K514" s="100">
        <f t="shared" si="232"/>
        <v>13.85032837</v>
      </c>
      <c r="L514" s="95">
        <f t="shared" si="233"/>
        <v>71.010000000000005</v>
      </c>
      <c r="M514" s="14"/>
      <c r="N514" s="11"/>
      <c r="O514" s="11"/>
      <c r="P514" s="11"/>
      <c r="Q514" s="11"/>
    </row>
    <row r="515" spans="1:17" ht="15.75" customHeight="1">
      <c r="A515" s="11"/>
      <c r="B515" s="160"/>
      <c r="C515" s="35" t="s">
        <v>741</v>
      </c>
      <c r="D515" s="448" t="s">
        <v>742</v>
      </c>
      <c r="E515" s="365"/>
      <c r="F515" s="35" t="s">
        <v>528</v>
      </c>
      <c r="G515" s="105">
        <v>3.33</v>
      </c>
      <c r="H515" s="100">
        <v>6</v>
      </c>
      <c r="I515" s="100">
        <f t="shared" ref="I515:I517" si="234">G515*H515</f>
        <v>19.98</v>
      </c>
      <c r="J515" s="94">
        <v>0.24229999999999999</v>
      </c>
      <c r="K515" s="100">
        <f t="shared" ref="K515:K516" si="235">I515*J515</f>
        <v>4.8411539999999995</v>
      </c>
      <c r="L515" s="95">
        <f t="shared" ref="L515:L516" si="236">ROUND(I515+K515,2)</f>
        <v>24.82</v>
      </c>
      <c r="M515" s="14"/>
      <c r="N515" s="11"/>
      <c r="O515" s="11"/>
      <c r="P515" s="11"/>
      <c r="Q515" s="11"/>
    </row>
    <row r="516" spans="1:17" ht="15.75" customHeight="1">
      <c r="A516" s="11"/>
      <c r="B516" s="160"/>
      <c r="C516" s="35" t="s">
        <v>745</v>
      </c>
      <c r="D516" s="448" t="s">
        <v>746</v>
      </c>
      <c r="E516" s="365"/>
      <c r="F516" s="35" t="s">
        <v>528</v>
      </c>
      <c r="G516" s="105">
        <v>3.33</v>
      </c>
      <c r="H516" s="100">
        <v>3.8</v>
      </c>
      <c r="I516" s="100">
        <f t="shared" si="234"/>
        <v>12.654</v>
      </c>
      <c r="J516" s="94">
        <v>0.24229999999999999</v>
      </c>
      <c r="K516" s="100">
        <f t="shared" si="235"/>
        <v>3.0660642</v>
      </c>
      <c r="L516" s="95">
        <f t="shared" si="236"/>
        <v>15.72</v>
      </c>
      <c r="M516" s="14"/>
      <c r="N516" s="11"/>
      <c r="O516" s="11"/>
      <c r="P516" s="11"/>
      <c r="Q516" s="11"/>
    </row>
    <row r="517" spans="1:17" ht="15.75" customHeight="1">
      <c r="A517" s="11"/>
      <c r="B517" s="160"/>
      <c r="C517" s="35" t="s">
        <v>1152</v>
      </c>
      <c r="D517" s="448" t="s">
        <v>1153</v>
      </c>
      <c r="E517" s="365"/>
      <c r="F517" s="35" t="s">
        <v>528</v>
      </c>
      <c r="G517" s="105">
        <v>6.67</v>
      </c>
      <c r="H517" s="100">
        <v>3.68</v>
      </c>
      <c r="I517" s="100">
        <f t="shared" si="234"/>
        <v>24.5456</v>
      </c>
      <c r="J517" s="94">
        <v>0.24229999999999999</v>
      </c>
      <c r="K517" s="100">
        <f t="shared" si="232"/>
        <v>5.9473988799999997</v>
      </c>
      <c r="L517" s="95">
        <f t="shared" si="233"/>
        <v>30.49</v>
      </c>
      <c r="M517" s="14"/>
      <c r="N517" s="11"/>
      <c r="O517" s="11"/>
      <c r="P517" s="11"/>
      <c r="Q517" s="11"/>
    </row>
    <row r="518" spans="1:17" ht="15.75" customHeight="1">
      <c r="A518" s="11"/>
      <c r="B518" s="160"/>
      <c r="C518" s="35"/>
      <c r="D518" s="448" t="s">
        <v>1154</v>
      </c>
      <c r="E518" s="365"/>
      <c r="F518" s="35" t="s">
        <v>481</v>
      </c>
      <c r="G518" s="105">
        <v>1</v>
      </c>
      <c r="H518" s="100">
        <v>86.34</v>
      </c>
      <c r="I518" s="100">
        <f t="shared" si="231"/>
        <v>86.34</v>
      </c>
      <c r="J518" s="94">
        <v>0.24229999999999999</v>
      </c>
      <c r="K518" s="100">
        <f t="shared" si="232"/>
        <v>20.920182</v>
      </c>
      <c r="L518" s="95">
        <f t="shared" si="233"/>
        <v>107.26</v>
      </c>
      <c r="M518" s="14"/>
      <c r="N518" s="11"/>
      <c r="O518" s="11"/>
      <c r="P518" s="11"/>
      <c r="Q518" s="11"/>
    </row>
    <row r="519" spans="1:17" ht="15.75" customHeight="1">
      <c r="A519" s="11"/>
      <c r="B519" s="468"/>
      <c r="C519" s="469"/>
      <c r="D519" s="469"/>
      <c r="E519" s="469"/>
      <c r="F519" s="469"/>
      <c r="G519" s="469"/>
      <c r="H519" s="469"/>
      <c r="I519" s="469"/>
      <c r="J519" s="470"/>
      <c r="K519" s="103" t="s">
        <v>526</v>
      </c>
      <c r="L519" s="104">
        <f>SUM(L513:L518)</f>
        <v>8438.0099999999984</v>
      </c>
      <c r="M519" s="14"/>
      <c r="N519" s="48"/>
      <c r="O519" s="11"/>
      <c r="P519" s="11"/>
      <c r="Q519" s="11"/>
    </row>
    <row r="520" spans="1:17" ht="15.75" customHeight="1">
      <c r="A520" s="11"/>
      <c r="B520" s="97" t="s">
        <v>971</v>
      </c>
      <c r="C520" s="98">
        <v>6081</v>
      </c>
      <c r="D520" s="474" t="s">
        <v>775</v>
      </c>
      <c r="E520" s="475"/>
      <c r="F520" s="475"/>
      <c r="G520" s="475"/>
      <c r="H520" s="475"/>
      <c r="I520" s="475"/>
      <c r="J520" s="475"/>
      <c r="K520" s="475"/>
      <c r="L520" s="476"/>
      <c r="M520" s="14"/>
      <c r="N520" s="300"/>
      <c r="O520" s="11"/>
      <c r="P520" s="11"/>
      <c r="Q520" s="11"/>
    </row>
    <row r="521" spans="1:17" ht="15.75" customHeight="1">
      <c r="A521" s="11"/>
      <c r="B521" s="33"/>
      <c r="C521" s="35">
        <v>6081</v>
      </c>
      <c r="D521" s="448" t="s">
        <v>775</v>
      </c>
      <c r="E521" s="449"/>
      <c r="F521" s="35" t="s">
        <v>501</v>
      </c>
      <c r="G521" s="99">
        <v>1</v>
      </c>
      <c r="H521" s="100">
        <v>36.51</v>
      </c>
      <c r="I521" s="100">
        <f t="shared" ref="I521" si="237">G521*H521</f>
        <v>36.51</v>
      </c>
      <c r="J521" s="94">
        <v>0.24229999999999999</v>
      </c>
      <c r="K521" s="100">
        <f t="shared" ref="K521" si="238">I521*J521</f>
        <v>8.8463729999999998</v>
      </c>
      <c r="L521" s="95">
        <f t="shared" ref="L521" si="239">ROUND(I521+K521,2)</f>
        <v>45.36</v>
      </c>
      <c r="M521" s="14"/>
      <c r="N521" s="11"/>
      <c r="O521" s="11"/>
      <c r="P521" s="11"/>
      <c r="Q521" s="11"/>
    </row>
    <row r="522" spans="1:17" ht="15.75" customHeight="1">
      <c r="A522" s="11"/>
      <c r="B522" s="467"/>
      <c r="C522" s="480"/>
      <c r="D522" s="480"/>
      <c r="E522" s="480"/>
      <c r="F522" s="480"/>
      <c r="G522" s="480"/>
      <c r="H522" s="480"/>
      <c r="I522" s="480"/>
      <c r="J522" s="481"/>
      <c r="K522" s="103" t="s">
        <v>526</v>
      </c>
      <c r="L522" s="104">
        <f>SUM(L521:L521)</f>
        <v>45.36</v>
      </c>
      <c r="M522" s="14"/>
      <c r="N522" s="11"/>
      <c r="O522" s="11"/>
      <c r="P522" s="11"/>
      <c r="Q522" s="11"/>
    </row>
    <row r="523" spans="1:17" ht="15.75" customHeight="1">
      <c r="A523" s="11"/>
      <c r="B523" s="97" t="s">
        <v>974</v>
      </c>
      <c r="C523" s="98">
        <v>4746</v>
      </c>
      <c r="D523" s="474" t="s">
        <v>777</v>
      </c>
      <c r="E523" s="475"/>
      <c r="F523" s="475"/>
      <c r="G523" s="475"/>
      <c r="H523" s="475"/>
      <c r="I523" s="475"/>
      <c r="J523" s="475"/>
      <c r="K523" s="475"/>
      <c r="L523" s="476"/>
      <c r="M523" s="14"/>
      <c r="N523" s="11"/>
      <c r="O523" s="11"/>
      <c r="P523" s="11"/>
      <c r="Q523" s="11"/>
    </row>
    <row r="524" spans="1:17" ht="15.75" customHeight="1">
      <c r="A524" s="11"/>
      <c r="B524" s="33"/>
      <c r="C524" s="35">
        <v>7167</v>
      </c>
      <c r="D524" s="448" t="s">
        <v>777</v>
      </c>
      <c r="E524" s="449"/>
      <c r="F524" s="35" t="s">
        <v>501</v>
      </c>
      <c r="G524" s="99">
        <v>1</v>
      </c>
      <c r="H524" s="100">
        <v>48.9</v>
      </c>
      <c r="I524" s="100">
        <f t="shared" ref="I524" si="240">G524*H524</f>
        <v>48.9</v>
      </c>
      <c r="J524" s="94">
        <v>0.24229999999999999</v>
      </c>
      <c r="K524" s="100">
        <f t="shared" ref="K524" si="241">I524*J524</f>
        <v>11.848469999999999</v>
      </c>
      <c r="L524" s="95">
        <f t="shared" ref="L524" si="242">ROUND(I524+K524,2)</f>
        <v>60.75</v>
      </c>
      <c r="M524" s="14"/>
      <c r="N524" s="11"/>
      <c r="O524" s="11"/>
      <c r="P524" s="11"/>
      <c r="Q524" s="11"/>
    </row>
    <row r="525" spans="1:17" ht="15.75" customHeight="1">
      <c r="A525" s="11"/>
      <c r="B525" s="467"/>
      <c r="C525" s="480"/>
      <c r="D525" s="480"/>
      <c r="E525" s="480"/>
      <c r="F525" s="480"/>
      <c r="G525" s="480"/>
      <c r="H525" s="480"/>
      <c r="I525" s="480"/>
      <c r="J525" s="481"/>
      <c r="K525" s="103" t="s">
        <v>526</v>
      </c>
      <c r="L525" s="104">
        <f>SUM(L524:L524)</f>
        <v>60.75</v>
      </c>
      <c r="M525" s="14"/>
      <c r="N525" s="11"/>
      <c r="O525" s="11"/>
      <c r="P525" s="11"/>
      <c r="Q525" s="11"/>
    </row>
    <row r="526" spans="1:17" ht="15.75" customHeight="1">
      <c r="A526" s="11"/>
      <c r="B526" s="97" t="s">
        <v>1192</v>
      </c>
      <c r="C526" s="98" t="s">
        <v>972</v>
      </c>
      <c r="D526" s="450" t="s">
        <v>973</v>
      </c>
      <c r="E526" s="364"/>
      <c r="F526" s="364"/>
      <c r="G526" s="364"/>
      <c r="H526" s="364"/>
      <c r="I526" s="364"/>
      <c r="J526" s="364"/>
      <c r="K526" s="364"/>
      <c r="L526" s="428"/>
      <c r="M526" s="14"/>
      <c r="N526" s="11"/>
      <c r="O526" s="11"/>
      <c r="P526" s="11"/>
      <c r="Q526" s="11"/>
    </row>
    <row r="527" spans="1:17" ht="33.75" customHeight="1">
      <c r="A527" s="11"/>
      <c r="B527" s="33"/>
      <c r="C527" s="35" t="s">
        <v>977</v>
      </c>
      <c r="D527" s="448" t="s">
        <v>978</v>
      </c>
      <c r="E527" s="449"/>
      <c r="F527" s="35" t="s">
        <v>979</v>
      </c>
      <c r="G527" s="105">
        <v>4.5199999999999999E-6</v>
      </c>
      <c r="H527" s="100">
        <v>9057.59</v>
      </c>
      <c r="I527" s="100">
        <f t="shared" ref="I527:I537" si="243">G527*H527</f>
        <v>4.0940306799999999E-2</v>
      </c>
      <c r="J527" s="94">
        <v>0.24229999999999999</v>
      </c>
      <c r="K527" s="100">
        <f t="shared" ref="K527:K537" si="244">I527*J527</f>
        <v>9.9198363376399989E-3</v>
      </c>
      <c r="L527" s="95">
        <f t="shared" ref="L527:L537" si="245">ROUND(I527+K527,2)</f>
        <v>0.05</v>
      </c>
      <c r="M527" s="14"/>
      <c r="N527" s="11"/>
      <c r="O527" s="11"/>
      <c r="P527" s="11"/>
      <c r="Q527" s="11"/>
    </row>
    <row r="528" spans="1:17" ht="33.75" customHeight="1">
      <c r="A528" s="11"/>
      <c r="B528" s="33"/>
      <c r="C528" s="35" t="s">
        <v>980</v>
      </c>
      <c r="D528" s="448" t="s">
        <v>981</v>
      </c>
      <c r="E528" s="449"/>
      <c r="F528" s="35" t="s">
        <v>979</v>
      </c>
      <c r="G528" s="105">
        <v>4.5299999999999998E-6</v>
      </c>
      <c r="H528" s="100">
        <v>9057.59</v>
      </c>
      <c r="I528" s="100">
        <f t="shared" si="243"/>
        <v>4.10308827E-2</v>
      </c>
      <c r="J528" s="94">
        <v>0.24229999999999999</v>
      </c>
      <c r="K528" s="100">
        <f t="shared" si="244"/>
        <v>9.9417828782099992E-3</v>
      </c>
      <c r="L528" s="95">
        <f t="shared" si="245"/>
        <v>0.05</v>
      </c>
      <c r="M528" s="14"/>
      <c r="N528" s="11"/>
      <c r="O528" s="11"/>
      <c r="P528" s="11"/>
      <c r="Q528" s="11"/>
    </row>
    <row r="529" spans="1:17" ht="33.75" customHeight="1">
      <c r="A529" s="11"/>
      <c r="B529" s="33"/>
      <c r="C529" s="35" t="s">
        <v>982</v>
      </c>
      <c r="D529" s="448" t="s">
        <v>983</v>
      </c>
      <c r="E529" s="449"/>
      <c r="F529" s="35" t="s">
        <v>979</v>
      </c>
      <c r="G529" s="105">
        <v>4.5299999999999998E-6</v>
      </c>
      <c r="H529" s="100">
        <v>2659.2</v>
      </c>
      <c r="I529" s="100">
        <f t="shared" si="243"/>
        <v>1.2046175999999999E-2</v>
      </c>
      <c r="J529" s="94">
        <v>0.24229999999999999</v>
      </c>
      <c r="K529" s="100">
        <f t="shared" si="244"/>
        <v>2.9187884447999996E-3</v>
      </c>
      <c r="L529" s="95">
        <f t="shared" si="245"/>
        <v>0.01</v>
      </c>
      <c r="M529" s="14"/>
      <c r="N529" s="11"/>
      <c r="O529" s="11"/>
      <c r="P529" s="11"/>
      <c r="Q529" s="11"/>
    </row>
    <row r="530" spans="1:17" ht="33.75" customHeight="1">
      <c r="A530" s="11"/>
      <c r="B530" s="33"/>
      <c r="C530" s="35" t="s">
        <v>984</v>
      </c>
      <c r="D530" s="448" t="s">
        <v>985</v>
      </c>
      <c r="E530" s="449"/>
      <c r="F530" s="35" t="s">
        <v>979</v>
      </c>
      <c r="G530" s="105">
        <v>1.133E-6</v>
      </c>
      <c r="H530" s="100">
        <v>16599.18</v>
      </c>
      <c r="I530" s="100">
        <f t="shared" si="243"/>
        <v>1.8806870940000001E-2</v>
      </c>
      <c r="J530" s="94">
        <v>0.24229999999999999</v>
      </c>
      <c r="K530" s="100">
        <f t="shared" si="244"/>
        <v>4.5569048287620005E-3</v>
      </c>
      <c r="L530" s="95">
        <f t="shared" si="245"/>
        <v>0.02</v>
      </c>
      <c r="M530" s="14"/>
      <c r="N530" s="11"/>
      <c r="O530" s="11"/>
      <c r="P530" s="11"/>
      <c r="Q530" s="11"/>
    </row>
    <row r="531" spans="1:17" ht="33.75" customHeight="1">
      <c r="A531" s="11"/>
      <c r="B531" s="33"/>
      <c r="C531" s="35" t="s">
        <v>986</v>
      </c>
      <c r="D531" s="448" t="s">
        <v>987</v>
      </c>
      <c r="E531" s="449"/>
      <c r="F531" s="35" t="s">
        <v>979</v>
      </c>
      <c r="G531" s="105">
        <v>1.361E-6</v>
      </c>
      <c r="H531" s="100">
        <v>9057.59</v>
      </c>
      <c r="I531" s="100">
        <f t="shared" si="243"/>
        <v>1.232737999E-2</v>
      </c>
      <c r="J531" s="94">
        <v>0.24229999999999999</v>
      </c>
      <c r="K531" s="100">
        <f t="shared" si="244"/>
        <v>2.9869241715769997E-3</v>
      </c>
      <c r="L531" s="95">
        <f t="shared" si="245"/>
        <v>0.02</v>
      </c>
      <c r="M531" s="14"/>
      <c r="N531" s="11"/>
      <c r="O531" s="11"/>
      <c r="P531" s="11"/>
      <c r="Q531" s="11"/>
    </row>
    <row r="532" spans="1:17" ht="33.75" customHeight="1">
      <c r="A532" s="11"/>
      <c r="B532" s="33"/>
      <c r="C532" s="35" t="s">
        <v>988</v>
      </c>
      <c r="D532" s="448" t="s">
        <v>989</v>
      </c>
      <c r="E532" s="449"/>
      <c r="F532" s="35" t="s">
        <v>979</v>
      </c>
      <c r="G532" s="105">
        <v>9.0100000000000001E-6</v>
      </c>
      <c r="H532" s="100">
        <v>4149.42</v>
      </c>
      <c r="I532" s="100">
        <f t="shared" si="243"/>
        <v>3.73862742E-2</v>
      </c>
      <c r="J532" s="94">
        <v>0.24229999999999999</v>
      </c>
      <c r="K532" s="100">
        <f t="shared" si="244"/>
        <v>9.0586942386599988E-3</v>
      </c>
      <c r="L532" s="95">
        <f t="shared" si="245"/>
        <v>0.05</v>
      </c>
      <c r="M532" s="14"/>
      <c r="N532" s="11"/>
      <c r="O532" s="11"/>
      <c r="P532" s="11"/>
      <c r="Q532" s="11"/>
    </row>
    <row r="533" spans="1:17" ht="33.75" customHeight="1">
      <c r="A533" s="11"/>
      <c r="B533" s="33"/>
      <c r="C533" s="35" t="s">
        <v>990</v>
      </c>
      <c r="D533" s="448" t="s">
        <v>991</v>
      </c>
      <c r="E533" s="449"/>
      <c r="F533" s="35" t="s">
        <v>992</v>
      </c>
      <c r="G533" s="105">
        <v>1E-4</v>
      </c>
      <c r="H533" s="100">
        <v>72</v>
      </c>
      <c r="I533" s="100">
        <f t="shared" si="243"/>
        <v>7.2000000000000007E-3</v>
      </c>
      <c r="J533" s="94">
        <v>0.24229999999999999</v>
      </c>
      <c r="K533" s="100">
        <f>I533*J533</f>
        <v>1.74456E-3</v>
      </c>
      <c r="L533" s="95">
        <f t="shared" si="245"/>
        <v>0.01</v>
      </c>
      <c r="M533" s="14"/>
      <c r="N533" s="11"/>
      <c r="O533" s="11"/>
      <c r="P533" s="11"/>
      <c r="Q533" s="11"/>
    </row>
    <row r="534" spans="1:17" ht="33.75" customHeight="1">
      <c r="A534" s="11"/>
      <c r="B534" s="33"/>
      <c r="C534" s="35" t="s">
        <v>993</v>
      </c>
      <c r="D534" s="448" t="s">
        <v>994</v>
      </c>
      <c r="E534" s="449"/>
      <c r="F534" s="35" t="s">
        <v>530</v>
      </c>
      <c r="G534" s="105">
        <v>1E-3</v>
      </c>
      <c r="H534" s="100">
        <v>5.58</v>
      </c>
      <c r="I534" s="100">
        <f t="shared" si="243"/>
        <v>5.5799999999999999E-3</v>
      </c>
      <c r="J534" s="94">
        <v>0.24229999999999999</v>
      </c>
      <c r="K534" s="100">
        <f t="shared" si="244"/>
        <v>1.352034E-3</v>
      </c>
      <c r="L534" s="95">
        <f t="shared" si="245"/>
        <v>0.01</v>
      </c>
      <c r="M534" s="14"/>
      <c r="N534" s="11"/>
      <c r="O534" s="11"/>
      <c r="P534" s="11"/>
      <c r="Q534" s="11"/>
    </row>
    <row r="535" spans="1:17" ht="33.75" customHeight="1">
      <c r="A535" s="11"/>
      <c r="B535" s="33"/>
      <c r="C535" s="35" t="s">
        <v>995</v>
      </c>
      <c r="D535" s="448" t="s">
        <v>996</v>
      </c>
      <c r="E535" s="449"/>
      <c r="F535" s="35" t="s">
        <v>979</v>
      </c>
      <c r="G535" s="105">
        <v>1.9999999999999999E-6</v>
      </c>
      <c r="H535" s="100">
        <v>4000</v>
      </c>
      <c r="I535" s="100">
        <f t="shared" si="243"/>
        <v>8.0000000000000002E-3</v>
      </c>
      <c r="J535" s="94">
        <v>0.24229999999999999</v>
      </c>
      <c r="K535" s="100">
        <f t="shared" si="244"/>
        <v>1.9383999999999998E-3</v>
      </c>
      <c r="L535" s="95">
        <f t="shared" si="245"/>
        <v>0.01</v>
      </c>
      <c r="M535" s="14"/>
      <c r="N535" s="11"/>
      <c r="O535" s="11"/>
      <c r="P535" s="11"/>
      <c r="Q535" s="11"/>
    </row>
    <row r="536" spans="1:17" ht="33.75" customHeight="1">
      <c r="A536" s="11"/>
      <c r="B536" s="33"/>
      <c r="C536" s="35" t="s">
        <v>997</v>
      </c>
      <c r="D536" s="448" t="s">
        <v>998</v>
      </c>
      <c r="E536" s="449"/>
      <c r="F536" s="35" t="s">
        <v>979</v>
      </c>
      <c r="G536" s="105">
        <v>2.9999999999999999E-7</v>
      </c>
      <c r="H536" s="100">
        <v>35950</v>
      </c>
      <c r="I536" s="100">
        <f t="shared" si="243"/>
        <v>1.0784999999999999E-2</v>
      </c>
      <c r="J536" s="94">
        <v>0.24229999999999999</v>
      </c>
      <c r="K536" s="100">
        <f t="shared" si="244"/>
        <v>2.6132054999999997E-3</v>
      </c>
      <c r="L536" s="95">
        <f t="shared" si="245"/>
        <v>0.01</v>
      </c>
      <c r="M536" s="14"/>
      <c r="N536" s="11"/>
      <c r="O536" s="11"/>
      <c r="P536" s="11"/>
      <c r="Q536" s="11"/>
    </row>
    <row r="537" spans="1:17" ht="15.75" customHeight="1">
      <c r="A537" s="11"/>
      <c r="B537" s="33"/>
      <c r="C537" s="35" t="s">
        <v>999</v>
      </c>
      <c r="D537" s="448" t="s">
        <v>1000</v>
      </c>
      <c r="E537" s="449"/>
      <c r="F537" s="35" t="s">
        <v>481</v>
      </c>
      <c r="G537" s="105">
        <v>9.9999999999999995E-7</v>
      </c>
      <c r="H537" s="100">
        <v>6890</v>
      </c>
      <c r="I537" s="100">
        <f t="shared" si="243"/>
        <v>6.8899999999999994E-3</v>
      </c>
      <c r="J537" s="94">
        <v>0.24229999999999999</v>
      </c>
      <c r="K537" s="100">
        <f t="shared" si="244"/>
        <v>1.6694469999999997E-3</v>
      </c>
      <c r="L537" s="95">
        <f t="shared" si="245"/>
        <v>0.01</v>
      </c>
      <c r="M537" s="14"/>
      <c r="N537" s="11"/>
      <c r="O537" s="11"/>
      <c r="P537" s="11"/>
      <c r="Q537" s="11"/>
    </row>
    <row r="538" spans="1:17" ht="15.75" customHeight="1">
      <c r="A538" s="11"/>
      <c r="B538" s="451"/>
      <c r="C538" s="364"/>
      <c r="D538" s="364"/>
      <c r="E538" s="364"/>
      <c r="F538" s="364"/>
      <c r="G538" s="364"/>
      <c r="H538" s="364"/>
      <c r="I538" s="364"/>
      <c r="J538" s="365"/>
      <c r="K538" s="103" t="s">
        <v>526</v>
      </c>
      <c r="L538" s="104">
        <f>SUM(L527:L537)</f>
        <v>0.25000000000000006</v>
      </c>
      <c r="M538" s="14"/>
      <c r="N538" s="11"/>
      <c r="O538" s="11"/>
      <c r="P538" s="11"/>
      <c r="Q538" s="11"/>
    </row>
    <row r="539" spans="1:17" ht="15.75" customHeight="1">
      <c r="A539" s="11"/>
      <c r="B539" s="97" t="s">
        <v>1193</v>
      </c>
      <c r="C539" s="98" t="s">
        <v>975</v>
      </c>
      <c r="D539" s="450" t="s">
        <v>976</v>
      </c>
      <c r="E539" s="364"/>
      <c r="F539" s="364"/>
      <c r="G539" s="364"/>
      <c r="H539" s="364"/>
      <c r="I539" s="364"/>
      <c r="J539" s="364"/>
      <c r="K539" s="364"/>
      <c r="L539" s="428"/>
      <c r="M539" s="14"/>
      <c r="N539" s="11"/>
      <c r="O539" s="11"/>
      <c r="P539" s="11"/>
      <c r="Q539" s="11"/>
    </row>
    <row r="540" spans="1:17" ht="33.75" customHeight="1">
      <c r="A540" s="11"/>
      <c r="B540" s="33"/>
      <c r="C540" s="35" t="s">
        <v>984</v>
      </c>
      <c r="D540" s="448" t="s">
        <v>985</v>
      </c>
      <c r="E540" s="449"/>
      <c r="F540" s="35" t="s">
        <v>979</v>
      </c>
      <c r="G540" s="105">
        <v>1.131E-4</v>
      </c>
      <c r="H540" s="100">
        <v>16599.18</v>
      </c>
      <c r="I540" s="100">
        <f t="shared" ref="I540:I546" si="246">G540*H540</f>
        <v>1.877367258</v>
      </c>
      <c r="J540" s="94">
        <v>0.24229999999999999</v>
      </c>
      <c r="K540" s="100">
        <f t="shared" ref="K540:K546" si="247">I540*J540</f>
        <v>0.45488608661339996</v>
      </c>
      <c r="L540" s="95">
        <f t="shared" ref="L540:L546" si="248">ROUND(I540+K540,2)</f>
        <v>2.33</v>
      </c>
      <c r="M540" s="14"/>
      <c r="N540" s="11"/>
      <c r="O540" s="11"/>
      <c r="P540" s="11"/>
      <c r="Q540" s="11"/>
    </row>
    <row r="541" spans="1:17" ht="33.75" customHeight="1">
      <c r="A541" s="11"/>
      <c r="B541" s="33"/>
      <c r="C541" s="35" t="s">
        <v>986</v>
      </c>
      <c r="D541" s="448" t="s">
        <v>987</v>
      </c>
      <c r="E541" s="449"/>
      <c r="F541" s="35" t="s">
        <v>979</v>
      </c>
      <c r="G541" s="105">
        <v>2.9700000000000001E-4</v>
      </c>
      <c r="H541" s="100">
        <v>9057.59</v>
      </c>
      <c r="I541" s="100">
        <f t="shared" si="246"/>
        <v>2.6901042300000002</v>
      </c>
      <c r="J541" s="94">
        <v>0.24229999999999999</v>
      </c>
      <c r="K541" s="100">
        <f t="shared" si="247"/>
        <v>0.65181225492899997</v>
      </c>
      <c r="L541" s="95">
        <f t="shared" si="248"/>
        <v>3.34</v>
      </c>
      <c r="M541" s="14"/>
      <c r="N541" s="11"/>
      <c r="O541" s="11"/>
      <c r="P541" s="11"/>
      <c r="Q541" s="11"/>
    </row>
    <row r="542" spans="1:17" ht="33.75" customHeight="1">
      <c r="A542" s="11"/>
      <c r="B542" s="33"/>
      <c r="C542" s="35" t="s">
        <v>988</v>
      </c>
      <c r="D542" s="448" t="s">
        <v>989</v>
      </c>
      <c r="E542" s="449"/>
      <c r="F542" s="35" t="s">
        <v>979</v>
      </c>
      <c r="G542" s="105">
        <v>9.0100000000000001E-6</v>
      </c>
      <c r="H542" s="100">
        <v>4149.42</v>
      </c>
      <c r="I542" s="100">
        <f t="shared" si="246"/>
        <v>3.73862742E-2</v>
      </c>
      <c r="J542" s="94">
        <v>0.24229999999999999</v>
      </c>
      <c r="K542" s="100">
        <f t="shared" si="247"/>
        <v>9.0586942386599988E-3</v>
      </c>
      <c r="L542" s="95">
        <f t="shared" si="248"/>
        <v>0.05</v>
      </c>
      <c r="M542" s="14"/>
      <c r="N542" s="11"/>
      <c r="O542" s="11"/>
      <c r="P542" s="11"/>
      <c r="Q542" s="11"/>
    </row>
    <row r="543" spans="1:17" ht="33.75" customHeight="1">
      <c r="A543" s="11"/>
      <c r="B543" s="33"/>
      <c r="C543" s="35" t="s">
        <v>990</v>
      </c>
      <c r="D543" s="448" t="s">
        <v>991</v>
      </c>
      <c r="E543" s="449"/>
      <c r="F543" s="35" t="s">
        <v>992</v>
      </c>
      <c r="G543" s="105">
        <v>2.9999999999999997E-4</v>
      </c>
      <c r="H543" s="100">
        <v>72</v>
      </c>
      <c r="I543" s="100">
        <f t="shared" si="246"/>
        <v>2.1599999999999998E-2</v>
      </c>
      <c r="J543" s="94">
        <v>0.24229999999999999</v>
      </c>
      <c r="K543" s="100">
        <f t="shared" si="247"/>
        <v>5.2336799999999992E-3</v>
      </c>
      <c r="L543" s="95">
        <f t="shared" si="248"/>
        <v>0.03</v>
      </c>
      <c r="M543" s="14"/>
      <c r="N543" s="11"/>
      <c r="O543" s="11"/>
      <c r="P543" s="11"/>
      <c r="Q543" s="11"/>
    </row>
    <row r="544" spans="1:17" ht="33.75" customHeight="1">
      <c r="A544" s="11"/>
      <c r="B544" s="33"/>
      <c r="C544" s="35" t="s">
        <v>993</v>
      </c>
      <c r="D544" s="448" t="s">
        <v>994</v>
      </c>
      <c r="E544" s="449"/>
      <c r="F544" s="35" t="s">
        <v>530</v>
      </c>
      <c r="G544" s="105">
        <v>1E-3</v>
      </c>
      <c r="H544" s="100">
        <v>5.58</v>
      </c>
      <c r="I544" s="100">
        <f t="shared" si="246"/>
        <v>5.5799999999999999E-3</v>
      </c>
      <c r="J544" s="94">
        <v>0.24229999999999999</v>
      </c>
      <c r="K544" s="100">
        <f t="shared" si="247"/>
        <v>1.352034E-3</v>
      </c>
      <c r="L544" s="95">
        <f t="shared" si="248"/>
        <v>0.01</v>
      </c>
      <c r="M544" s="14"/>
      <c r="N544" s="11"/>
      <c r="O544" s="11"/>
      <c r="P544" s="11"/>
      <c r="Q544" s="11"/>
    </row>
    <row r="545" spans="1:17" ht="15.75" customHeight="1">
      <c r="A545" s="11"/>
      <c r="B545" s="33"/>
      <c r="C545" s="35" t="s">
        <v>999</v>
      </c>
      <c r="D545" s="448" t="s">
        <v>1001</v>
      </c>
      <c r="E545" s="449"/>
      <c r="F545" s="35" t="s">
        <v>979</v>
      </c>
      <c r="G545" s="105">
        <v>4.0000000000000002E-4</v>
      </c>
      <c r="H545" s="100">
        <v>6890</v>
      </c>
      <c r="I545" s="100">
        <f t="shared" si="246"/>
        <v>2.7560000000000002</v>
      </c>
      <c r="J545" s="94">
        <v>0.24229999999999999</v>
      </c>
      <c r="K545" s="100">
        <f t="shared" si="247"/>
        <v>0.66777880000000001</v>
      </c>
      <c r="L545" s="95">
        <f t="shared" si="248"/>
        <v>3.42</v>
      </c>
      <c r="M545" s="14"/>
      <c r="N545" s="11"/>
      <c r="O545" s="11"/>
      <c r="P545" s="11"/>
      <c r="Q545" s="11"/>
    </row>
    <row r="546" spans="1:17" ht="15.75" customHeight="1">
      <c r="A546" s="11"/>
      <c r="B546" s="33"/>
      <c r="C546" s="35" t="s">
        <v>1002</v>
      </c>
      <c r="D546" s="448" t="s">
        <v>1003</v>
      </c>
      <c r="E546" s="449"/>
      <c r="F546" s="35" t="s">
        <v>979</v>
      </c>
      <c r="G546" s="105">
        <v>1E-4</v>
      </c>
      <c r="H546" s="100">
        <v>12800</v>
      </c>
      <c r="I546" s="100">
        <f t="shared" si="246"/>
        <v>1.28</v>
      </c>
      <c r="J546" s="94">
        <v>0.24229999999999999</v>
      </c>
      <c r="K546" s="100">
        <f t="shared" si="247"/>
        <v>0.31014399999999998</v>
      </c>
      <c r="L546" s="95">
        <f t="shared" si="248"/>
        <v>1.59</v>
      </c>
      <c r="M546" s="14"/>
      <c r="N546" s="11"/>
      <c r="O546" s="11"/>
      <c r="P546" s="11"/>
      <c r="Q546" s="11"/>
    </row>
    <row r="547" spans="1:17" ht="15.75" customHeight="1">
      <c r="A547" s="11"/>
      <c r="B547" s="451"/>
      <c r="C547" s="452"/>
      <c r="D547" s="452"/>
      <c r="E547" s="452"/>
      <c r="F547" s="452"/>
      <c r="G547" s="452"/>
      <c r="H547" s="452"/>
      <c r="I547" s="452"/>
      <c r="J547" s="453"/>
      <c r="K547" s="103" t="s">
        <v>526</v>
      </c>
      <c r="L547" s="104">
        <f>SUM(L540:L546)</f>
        <v>10.77</v>
      </c>
      <c r="M547" s="14"/>
      <c r="N547" s="11"/>
      <c r="O547" s="11"/>
      <c r="P547" s="11"/>
      <c r="Q547" s="11"/>
    </row>
    <row r="548" spans="1:17" ht="15.75" customHeight="1">
      <c r="A548" s="11"/>
      <c r="B548" s="97" t="s">
        <v>1194</v>
      </c>
      <c r="C548" s="98" t="s">
        <v>1007</v>
      </c>
      <c r="D548" s="450" t="s">
        <v>1005</v>
      </c>
      <c r="E548" s="364"/>
      <c r="F548" s="364"/>
      <c r="G548" s="364"/>
      <c r="H548" s="364"/>
      <c r="I548" s="364"/>
      <c r="J548" s="364"/>
      <c r="K548" s="364"/>
      <c r="L548" s="428"/>
      <c r="M548" s="14"/>
      <c r="N548" s="11"/>
      <c r="O548" s="11"/>
      <c r="P548" s="11"/>
      <c r="Q548" s="11"/>
    </row>
    <row r="549" spans="1:17" ht="36" customHeight="1">
      <c r="A549" s="11"/>
      <c r="B549" s="33"/>
      <c r="C549" s="35" t="s">
        <v>984</v>
      </c>
      <c r="D549" s="448" t="s">
        <v>985</v>
      </c>
      <c r="E549" s="449"/>
      <c r="F549" s="35" t="s">
        <v>979</v>
      </c>
      <c r="G549" s="105">
        <v>1.137E-4</v>
      </c>
      <c r="H549" s="100">
        <v>16599.18</v>
      </c>
      <c r="I549" s="100">
        <f t="shared" ref="I549:I555" si="249">G549*H549</f>
        <v>1.8873267659999999</v>
      </c>
      <c r="J549" s="94">
        <v>0.24229999999999999</v>
      </c>
      <c r="K549" s="100">
        <f t="shared" ref="K549:K555" si="250">I549*J549</f>
        <v>0.45729927540179999</v>
      </c>
      <c r="L549" s="95">
        <f t="shared" ref="L549:L555" si="251">ROUND(I549+K549,2)</f>
        <v>2.34</v>
      </c>
      <c r="M549" s="14"/>
      <c r="N549" s="11"/>
      <c r="O549" s="11"/>
      <c r="P549" s="11"/>
      <c r="Q549" s="11"/>
    </row>
    <row r="550" spans="1:17" ht="43.5" customHeight="1">
      <c r="A550" s="11"/>
      <c r="B550" s="33"/>
      <c r="C550" s="35" t="s">
        <v>1008</v>
      </c>
      <c r="D550" s="448" t="s">
        <v>1010</v>
      </c>
      <c r="E550" s="449"/>
      <c r="F550" s="35" t="s">
        <v>979</v>
      </c>
      <c r="G550" s="105">
        <v>2.9999999999999997E-4</v>
      </c>
      <c r="H550" s="100">
        <v>5460.62</v>
      </c>
      <c r="I550" s="100">
        <f t="shared" si="249"/>
        <v>1.6381859999999999</v>
      </c>
      <c r="J550" s="94">
        <v>0.24229999999999999</v>
      </c>
      <c r="K550" s="100">
        <f t="shared" si="250"/>
        <v>0.39693246779999997</v>
      </c>
      <c r="L550" s="95">
        <f t="shared" si="251"/>
        <v>2.04</v>
      </c>
      <c r="M550" s="14"/>
      <c r="N550" s="11"/>
      <c r="O550" s="11"/>
      <c r="P550" s="11"/>
      <c r="Q550" s="11"/>
    </row>
    <row r="551" spans="1:17" ht="30" customHeight="1">
      <c r="A551" s="11"/>
      <c r="B551" s="33"/>
      <c r="C551" s="35" t="s">
        <v>988</v>
      </c>
      <c r="D551" s="448" t="s">
        <v>989</v>
      </c>
      <c r="E551" s="449"/>
      <c r="F551" s="35" t="s">
        <v>979</v>
      </c>
      <c r="G551" s="105">
        <v>9.09E-5</v>
      </c>
      <c r="H551" s="100">
        <v>4149.42</v>
      </c>
      <c r="I551" s="100">
        <f t="shared" si="249"/>
        <v>0.37718227799999998</v>
      </c>
      <c r="J551" s="94">
        <v>0.24229999999999999</v>
      </c>
      <c r="K551" s="100">
        <f t="shared" si="250"/>
        <v>9.1391265959399989E-2</v>
      </c>
      <c r="L551" s="95">
        <f t="shared" si="251"/>
        <v>0.47</v>
      </c>
      <c r="M551" s="14"/>
      <c r="N551" s="11"/>
      <c r="O551" s="11"/>
      <c r="P551" s="11"/>
      <c r="Q551" s="11"/>
    </row>
    <row r="552" spans="1:17" ht="35.25" customHeight="1">
      <c r="A552" s="11"/>
      <c r="B552" s="33"/>
      <c r="C552" s="35" t="s">
        <v>990</v>
      </c>
      <c r="D552" s="448" t="s">
        <v>991</v>
      </c>
      <c r="E552" s="449"/>
      <c r="F552" s="35" t="s">
        <v>992</v>
      </c>
      <c r="G552" s="105">
        <v>1E-3</v>
      </c>
      <c r="H552" s="100">
        <v>72</v>
      </c>
      <c r="I552" s="100">
        <f t="shared" si="249"/>
        <v>7.2000000000000008E-2</v>
      </c>
      <c r="J552" s="94">
        <v>0.24229999999999999</v>
      </c>
      <c r="K552" s="100">
        <f t="shared" si="250"/>
        <v>1.7445600000000002E-2</v>
      </c>
      <c r="L552" s="95">
        <f t="shared" si="251"/>
        <v>0.09</v>
      </c>
      <c r="M552" s="14"/>
      <c r="N552" s="11"/>
      <c r="O552" s="11"/>
      <c r="P552" s="11"/>
      <c r="Q552" s="11"/>
    </row>
    <row r="553" spans="1:17" ht="30.75" customHeight="1">
      <c r="A553" s="11"/>
      <c r="B553" s="33"/>
      <c r="C553" s="35" t="s">
        <v>993</v>
      </c>
      <c r="D553" s="448" t="s">
        <v>994</v>
      </c>
      <c r="E553" s="449"/>
      <c r="F553" s="35" t="s">
        <v>530</v>
      </c>
      <c r="G553" s="105">
        <v>2E-3</v>
      </c>
      <c r="H553" s="100">
        <v>5.58</v>
      </c>
      <c r="I553" s="100">
        <f t="shared" si="249"/>
        <v>1.116E-2</v>
      </c>
      <c r="J553" s="94">
        <v>0.24229999999999999</v>
      </c>
      <c r="K553" s="100">
        <f t="shared" si="250"/>
        <v>2.704068E-3</v>
      </c>
      <c r="L553" s="95">
        <f t="shared" si="251"/>
        <v>0.01</v>
      </c>
      <c r="M553" s="14"/>
      <c r="N553" s="11"/>
      <c r="O553" s="11"/>
      <c r="P553" s="11"/>
      <c r="Q553" s="11"/>
    </row>
    <row r="554" spans="1:17" ht="15.75" customHeight="1">
      <c r="A554" s="11"/>
      <c r="B554" s="33"/>
      <c r="C554" s="35" t="s">
        <v>999</v>
      </c>
      <c r="D554" s="448" t="s">
        <v>1001</v>
      </c>
      <c r="E554" s="449"/>
      <c r="F554" s="35" t="s">
        <v>481</v>
      </c>
      <c r="G554" s="105">
        <v>2.0000000000000001E-4</v>
      </c>
      <c r="H554" s="100">
        <v>6890</v>
      </c>
      <c r="I554" s="100">
        <f t="shared" si="249"/>
        <v>1.3780000000000001</v>
      </c>
      <c r="J554" s="94">
        <v>0.24229999999999999</v>
      </c>
      <c r="K554" s="100">
        <f t="shared" si="250"/>
        <v>0.3338894</v>
      </c>
      <c r="L554" s="95">
        <f t="shared" si="251"/>
        <v>1.71</v>
      </c>
      <c r="M554" s="14"/>
      <c r="N554" s="11"/>
      <c r="O554" s="11"/>
      <c r="P554" s="11"/>
      <c r="Q554" s="11"/>
    </row>
    <row r="555" spans="1:17" ht="15.75" customHeight="1">
      <c r="A555" s="11"/>
      <c r="B555" s="33"/>
      <c r="C555" s="35" t="s">
        <v>1009</v>
      </c>
      <c r="D555" s="448" t="s">
        <v>1011</v>
      </c>
      <c r="E555" s="449"/>
      <c r="F555" s="35" t="s">
        <v>486</v>
      </c>
      <c r="G555" s="105">
        <v>2.0000000000000001E-4</v>
      </c>
      <c r="H555" s="100">
        <v>12200</v>
      </c>
      <c r="I555" s="100">
        <f t="shared" si="249"/>
        <v>2.44</v>
      </c>
      <c r="J555" s="94">
        <v>0.24229999999999999</v>
      </c>
      <c r="K555" s="100">
        <f t="shared" si="250"/>
        <v>0.59121199999999996</v>
      </c>
      <c r="L555" s="95">
        <f t="shared" si="251"/>
        <v>3.03</v>
      </c>
      <c r="M555" s="14"/>
      <c r="N555" s="11"/>
      <c r="O555" s="11"/>
      <c r="P555" s="11"/>
      <c r="Q555" s="11"/>
    </row>
    <row r="556" spans="1:17" ht="15.75" customHeight="1">
      <c r="A556" s="11"/>
      <c r="B556" s="451"/>
      <c r="C556" s="452"/>
      <c r="D556" s="452"/>
      <c r="E556" s="452"/>
      <c r="F556" s="452"/>
      <c r="G556" s="452"/>
      <c r="H556" s="452"/>
      <c r="I556" s="452"/>
      <c r="J556" s="453"/>
      <c r="K556" s="103" t="s">
        <v>526</v>
      </c>
      <c r="L556" s="104">
        <f>SUM(L549:L555)</f>
        <v>9.69</v>
      </c>
      <c r="M556" s="14"/>
      <c r="N556" s="11"/>
      <c r="O556" s="11"/>
      <c r="P556" s="11"/>
      <c r="Q556" s="11"/>
    </row>
    <row r="557" spans="1:17" ht="16.5" thickBot="1">
      <c r="A557" s="11"/>
      <c r="B557" s="217"/>
      <c r="C557" s="218"/>
      <c r="D557" s="218"/>
      <c r="E557" s="218"/>
      <c r="F557" s="218"/>
      <c r="G557" s="218"/>
      <c r="H557" s="218"/>
      <c r="I557" s="218"/>
      <c r="J557" s="218"/>
      <c r="K557" s="219"/>
      <c r="L557" s="220"/>
      <c r="M557" s="14"/>
      <c r="N557" s="11"/>
      <c r="O557" s="11"/>
      <c r="P557" s="11"/>
      <c r="Q557" s="11"/>
    </row>
    <row r="558" spans="1:17" ht="39.75" customHeight="1">
      <c r="A558" s="78"/>
      <c r="B558" s="213"/>
      <c r="C558" s="473"/>
      <c r="D558" s="473"/>
      <c r="E558" s="473"/>
      <c r="F558" s="473"/>
      <c r="G558" s="473"/>
      <c r="H558" s="473"/>
      <c r="I558" s="473"/>
      <c r="J558" s="214"/>
      <c r="K558" s="215"/>
      <c r="L558" s="216"/>
      <c r="M558" s="79"/>
      <c r="N558" s="78"/>
      <c r="O558" s="78"/>
      <c r="P558" s="78"/>
      <c r="Q558" s="78"/>
    </row>
    <row r="559" spans="1:17" ht="32.25" customHeight="1">
      <c r="A559" s="78"/>
      <c r="B559" s="78"/>
      <c r="C559" s="106" t="s">
        <v>538</v>
      </c>
      <c r="D559" s="472" t="s">
        <v>968</v>
      </c>
      <c r="E559" s="472"/>
      <c r="F559" s="472"/>
      <c r="G559" s="472"/>
      <c r="H559" s="472"/>
      <c r="I559" s="472"/>
      <c r="J559" s="472"/>
      <c r="K559" s="48"/>
      <c r="L559" s="11"/>
      <c r="M559" s="79"/>
      <c r="N559" s="78"/>
      <c r="O559" s="78"/>
      <c r="P559" s="78"/>
      <c r="Q559" s="78"/>
    </row>
    <row r="560" spans="1:17" ht="39.75" customHeight="1">
      <c r="A560" s="78"/>
      <c r="B560" s="78"/>
      <c r="C560" s="106"/>
      <c r="D560" s="471"/>
      <c r="E560" s="471"/>
      <c r="F560" s="471"/>
      <c r="G560" s="471"/>
      <c r="H560" s="107"/>
      <c r="I560" s="108"/>
      <c r="J560" s="14"/>
      <c r="K560" s="48"/>
      <c r="L560" s="11"/>
      <c r="M560" s="79"/>
      <c r="N560" s="78"/>
      <c r="O560" s="78"/>
      <c r="P560" s="78"/>
      <c r="Q560" s="78"/>
    </row>
    <row r="561" spans="1:17" ht="39.75" customHeight="1">
      <c r="A561" s="78"/>
      <c r="B561" s="78"/>
      <c r="C561" s="78"/>
      <c r="D561" s="78"/>
      <c r="E561" s="78"/>
      <c r="F561" s="79"/>
      <c r="G561" s="79"/>
      <c r="H561" s="80"/>
      <c r="I561" s="80"/>
      <c r="J561" s="14"/>
      <c r="K561" s="48"/>
      <c r="L561" s="11"/>
      <c r="M561" s="79"/>
      <c r="N561" s="78"/>
      <c r="O561" s="78"/>
      <c r="P561" s="78"/>
      <c r="Q561" s="78"/>
    </row>
    <row r="562" spans="1:17" ht="39.75" customHeight="1">
      <c r="A562" s="78"/>
      <c r="B562" s="78"/>
      <c r="C562" s="78"/>
      <c r="D562" s="78"/>
      <c r="E562" s="78"/>
      <c r="F562" s="79"/>
      <c r="G562" s="79"/>
      <c r="H562" s="80"/>
      <c r="I562" s="80"/>
      <c r="J562" s="79"/>
      <c r="K562" s="80"/>
      <c r="L562" s="78"/>
      <c r="M562" s="79"/>
      <c r="N562" s="78"/>
      <c r="O562" s="78"/>
      <c r="P562" s="78"/>
      <c r="Q562" s="78"/>
    </row>
  </sheetData>
  <autoFilter ref="B10:Q557"/>
  <mergeCells count="549">
    <mergeCell ref="D517:E517"/>
    <mergeCell ref="D518:E518"/>
    <mergeCell ref="B519:J519"/>
    <mergeCell ref="D515:E515"/>
    <mergeCell ref="D516:E516"/>
    <mergeCell ref="D314:L314"/>
    <mergeCell ref="D315:E315"/>
    <mergeCell ref="D316:E316"/>
    <mergeCell ref="D317:E317"/>
    <mergeCell ref="D318:E318"/>
    <mergeCell ref="D319:E319"/>
    <mergeCell ref="B320:J320"/>
    <mergeCell ref="D321:L321"/>
    <mergeCell ref="D322:E322"/>
    <mergeCell ref="D323:E323"/>
    <mergeCell ref="D324:E324"/>
    <mergeCell ref="D325:E325"/>
    <mergeCell ref="D326:E326"/>
    <mergeCell ref="B327:J327"/>
    <mergeCell ref="D506:L506"/>
    <mergeCell ref="D507:E507"/>
    <mergeCell ref="D508:E508"/>
    <mergeCell ref="D509:E509"/>
    <mergeCell ref="D510:E510"/>
    <mergeCell ref="D328:L328"/>
    <mergeCell ref="D329:E329"/>
    <mergeCell ref="B334:J334"/>
    <mergeCell ref="D401:E401"/>
    <mergeCell ref="B496:J496"/>
    <mergeCell ref="D410:E410"/>
    <mergeCell ref="D411:E411"/>
    <mergeCell ref="D475:E475"/>
    <mergeCell ref="B476:J476"/>
    <mergeCell ref="D467:L467"/>
    <mergeCell ref="B459:J459"/>
    <mergeCell ref="D372:E372"/>
    <mergeCell ref="D373:E373"/>
    <mergeCell ref="D380:L380"/>
    <mergeCell ref="B425:J425"/>
    <mergeCell ref="D407:E407"/>
    <mergeCell ref="D418:E418"/>
    <mergeCell ref="D422:E422"/>
    <mergeCell ref="D423:E423"/>
    <mergeCell ref="D424:E424"/>
    <mergeCell ref="D453:E453"/>
    <mergeCell ref="D454:E454"/>
    <mergeCell ref="D455:E455"/>
    <mergeCell ref="D456:E456"/>
    <mergeCell ref="B120:J120"/>
    <mergeCell ref="D122:L122"/>
    <mergeCell ref="D123:E123"/>
    <mergeCell ref="D286:E286"/>
    <mergeCell ref="D287:E287"/>
    <mergeCell ref="D288:E288"/>
    <mergeCell ref="D289:E289"/>
    <mergeCell ref="D299:E299"/>
    <mergeCell ref="B304:J304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300:E300"/>
    <mergeCell ref="D301:E301"/>
    <mergeCell ref="D302:E302"/>
    <mergeCell ref="D303:E303"/>
    <mergeCell ref="D173:E173"/>
    <mergeCell ref="D174:E174"/>
    <mergeCell ref="D72:E72"/>
    <mergeCell ref="D73:E73"/>
    <mergeCell ref="D74:E74"/>
    <mergeCell ref="D280:E280"/>
    <mergeCell ref="D281:E281"/>
    <mergeCell ref="D282:E282"/>
    <mergeCell ref="D283:E283"/>
    <mergeCell ref="B284:J284"/>
    <mergeCell ref="D285:L285"/>
    <mergeCell ref="D75:E75"/>
    <mergeCell ref="D76:E76"/>
    <mergeCell ref="D77:E77"/>
    <mergeCell ref="D78:E78"/>
    <mergeCell ref="D79:E79"/>
    <mergeCell ref="D80:E80"/>
    <mergeCell ref="B81:J81"/>
    <mergeCell ref="D278:L278"/>
    <mergeCell ref="D279:E279"/>
    <mergeCell ref="D87:E87"/>
    <mergeCell ref="D116:E116"/>
    <mergeCell ref="D117:E117"/>
    <mergeCell ref="D156:L156"/>
    <mergeCell ref="D118:E118"/>
    <mergeCell ref="D119:E119"/>
    <mergeCell ref="D62:E62"/>
    <mergeCell ref="D63:E63"/>
    <mergeCell ref="D64:E64"/>
    <mergeCell ref="D65:E65"/>
    <mergeCell ref="B67:J67"/>
    <mergeCell ref="D68:L68"/>
    <mergeCell ref="D69:E69"/>
    <mergeCell ref="B70:J70"/>
    <mergeCell ref="D71:L71"/>
    <mergeCell ref="D53:E53"/>
    <mergeCell ref="D54:E54"/>
    <mergeCell ref="D55:E55"/>
    <mergeCell ref="D56:E56"/>
    <mergeCell ref="B57:J57"/>
    <mergeCell ref="D58:L58"/>
    <mergeCell ref="D59:E59"/>
    <mergeCell ref="D60:E60"/>
    <mergeCell ref="D61:E61"/>
    <mergeCell ref="D549:E549"/>
    <mergeCell ref="D550:E550"/>
    <mergeCell ref="D551:E551"/>
    <mergeCell ref="D552:E552"/>
    <mergeCell ref="D553:E553"/>
    <mergeCell ref="D554:E554"/>
    <mergeCell ref="D555:E555"/>
    <mergeCell ref="B556:J556"/>
    <mergeCell ref="D34:E34"/>
    <mergeCell ref="D35:E35"/>
    <mergeCell ref="B36:J36"/>
    <mergeCell ref="D37:L37"/>
    <mergeCell ref="D43:E43"/>
    <mergeCell ref="B46:J46"/>
    <mergeCell ref="D38:E38"/>
    <mergeCell ref="D39:E39"/>
    <mergeCell ref="D40:E40"/>
    <mergeCell ref="D41:E41"/>
    <mergeCell ref="D42:E42"/>
    <mergeCell ref="D44:E44"/>
    <mergeCell ref="D45:E45"/>
    <mergeCell ref="D47:L47"/>
    <mergeCell ref="D48:E48"/>
    <mergeCell ref="D49:E49"/>
    <mergeCell ref="D175:E175"/>
    <mergeCell ref="D176:E176"/>
    <mergeCell ref="D177:E177"/>
    <mergeCell ref="B178:J178"/>
    <mergeCell ref="D179:L179"/>
    <mergeCell ref="D367:E367"/>
    <mergeCell ref="D548:L548"/>
    <mergeCell ref="D305:L305"/>
    <mergeCell ref="D306:E306"/>
    <mergeCell ref="D307:E307"/>
    <mergeCell ref="D308:E308"/>
    <mergeCell ref="D311:E311"/>
    <mergeCell ref="D312:E312"/>
    <mergeCell ref="B313:J313"/>
    <mergeCell ref="D309:E309"/>
    <mergeCell ref="D310:E310"/>
    <mergeCell ref="B511:J511"/>
    <mergeCell ref="D512:L512"/>
    <mergeCell ref="D513:E513"/>
    <mergeCell ref="D514:E514"/>
    <mergeCell ref="D330:E330"/>
    <mergeCell ref="D331:E331"/>
    <mergeCell ref="D520:L520"/>
    <mergeCell ref="B525:J525"/>
    <mergeCell ref="B522:J522"/>
    <mergeCell ref="D82:L82"/>
    <mergeCell ref="D89:L89"/>
    <mergeCell ref="B95:J95"/>
    <mergeCell ref="D90:E90"/>
    <mergeCell ref="D91:E91"/>
    <mergeCell ref="D92:E92"/>
    <mergeCell ref="D93:E93"/>
    <mergeCell ref="D94:E94"/>
    <mergeCell ref="D521:E521"/>
    <mergeCell ref="D427:E427"/>
    <mergeCell ref="D413:L413"/>
    <mergeCell ref="D429:E429"/>
    <mergeCell ref="D435:E435"/>
    <mergeCell ref="D428:E428"/>
    <mergeCell ref="D430:E430"/>
    <mergeCell ref="D432:E432"/>
    <mergeCell ref="D431:E431"/>
    <mergeCell ref="D433:E433"/>
    <mergeCell ref="D434:E434"/>
    <mergeCell ref="D111:L111"/>
    <mergeCell ref="D112:E112"/>
    <mergeCell ref="B113:J113"/>
    <mergeCell ref="D114:L114"/>
    <mergeCell ref="D523:L523"/>
    <mergeCell ref="D524:E524"/>
    <mergeCell ref="D136:E136"/>
    <mergeCell ref="D137:E137"/>
    <mergeCell ref="D140:E140"/>
    <mergeCell ref="D141:E141"/>
    <mergeCell ref="D96:L96"/>
    <mergeCell ref="D97:E97"/>
    <mergeCell ref="D448:E448"/>
    <mergeCell ref="D449:E449"/>
    <mergeCell ref="D399:L399"/>
    <mergeCell ref="D400:E400"/>
    <mergeCell ref="D436:E436"/>
    <mergeCell ref="D405:L405"/>
    <mergeCell ref="D438:L438"/>
    <mergeCell ref="B451:J451"/>
    <mergeCell ref="D414:E414"/>
    <mergeCell ref="D415:E415"/>
    <mergeCell ref="D416:E416"/>
    <mergeCell ref="D417:E417"/>
    <mergeCell ref="D406:E406"/>
    <mergeCell ref="B412:J412"/>
    <mergeCell ref="D419:E419"/>
    <mergeCell ref="D426:L426"/>
    <mergeCell ref="D560:G560"/>
    <mergeCell ref="D559:J559"/>
    <mergeCell ref="C558:I558"/>
    <mergeCell ref="B138:J138"/>
    <mergeCell ref="D139:L139"/>
    <mergeCell ref="B142:J142"/>
    <mergeCell ref="D143:L143"/>
    <mergeCell ref="B375:J375"/>
    <mergeCell ref="D421:L421"/>
    <mergeCell ref="D381:E381"/>
    <mergeCell ref="D147:L147"/>
    <mergeCell ref="D148:E148"/>
    <mergeCell ref="D149:E149"/>
    <mergeCell ref="B150:J150"/>
    <mergeCell ref="D366:L366"/>
    <mergeCell ref="D468:E468"/>
    <mergeCell ref="D469:E469"/>
    <mergeCell ref="D470:E470"/>
    <mergeCell ref="D473:E473"/>
    <mergeCell ref="D474:E474"/>
    <mergeCell ref="D461:E461"/>
    <mergeCell ref="D465:E465"/>
    <mergeCell ref="D472:E472"/>
    <mergeCell ref="D471:E471"/>
    <mergeCell ref="D10:E10"/>
    <mergeCell ref="D377:E377"/>
    <mergeCell ref="D378:E378"/>
    <mergeCell ref="B146:J146"/>
    <mergeCell ref="D409:E409"/>
    <mergeCell ref="B384:J384"/>
    <mergeCell ref="B379:J379"/>
    <mergeCell ref="D376:L376"/>
    <mergeCell ref="B437:J437"/>
    <mergeCell ref="B420:J420"/>
    <mergeCell ref="D369:E369"/>
    <mergeCell ref="B370:J370"/>
    <mergeCell ref="D371:L371"/>
    <mergeCell ref="D374:E374"/>
    <mergeCell ref="D98:E98"/>
    <mergeCell ref="D99:E99"/>
    <mergeCell ref="D100:E100"/>
    <mergeCell ref="D101:E101"/>
    <mergeCell ref="D83:E83"/>
    <mergeCell ref="D84:E84"/>
    <mergeCell ref="D85:E85"/>
    <mergeCell ref="D86:E86"/>
    <mergeCell ref="D12:L12"/>
    <mergeCell ref="D13:E13"/>
    <mergeCell ref="F7:H7"/>
    <mergeCell ref="B2:C7"/>
    <mergeCell ref="J2:L7"/>
    <mergeCell ref="D2:I3"/>
    <mergeCell ref="F6:H6"/>
    <mergeCell ref="F5:H5"/>
    <mergeCell ref="F4:H4"/>
    <mergeCell ref="D7:E7"/>
    <mergeCell ref="B8:L9"/>
    <mergeCell ref="D14:E14"/>
    <mergeCell ref="D15:E15"/>
    <mergeCell ref="D16:E16"/>
    <mergeCell ref="D17:E17"/>
    <mergeCell ref="B19:J19"/>
    <mergeCell ref="D11:L11"/>
    <mergeCell ref="D18:E18"/>
    <mergeCell ref="D21:L21"/>
    <mergeCell ref="D22:E22"/>
    <mergeCell ref="D115:E115"/>
    <mergeCell ref="D144:E144"/>
    <mergeCell ref="D145:E145"/>
    <mergeCell ref="D167:E167"/>
    <mergeCell ref="D23:E23"/>
    <mergeCell ref="D24:E24"/>
    <mergeCell ref="D165:L165"/>
    <mergeCell ref="D166:E166"/>
    <mergeCell ref="D25:E25"/>
    <mergeCell ref="D26:E26"/>
    <mergeCell ref="D27:E27"/>
    <mergeCell ref="B28:J28"/>
    <mergeCell ref="D29:L29"/>
    <mergeCell ref="D30:E30"/>
    <mergeCell ref="D31:E31"/>
    <mergeCell ref="D32:E32"/>
    <mergeCell ref="D33:E33"/>
    <mergeCell ref="D50:E50"/>
    <mergeCell ref="D51:E51"/>
    <mergeCell ref="D52:E52"/>
    <mergeCell ref="B88:J88"/>
    <mergeCell ref="B127:J127"/>
    <mergeCell ref="B134:J134"/>
    <mergeCell ref="D128:L128"/>
    <mergeCell ref="D129:E129"/>
    <mergeCell ref="D130:E130"/>
    <mergeCell ref="D131:E131"/>
    <mergeCell ref="D170:E170"/>
    <mergeCell ref="B102:J102"/>
    <mergeCell ref="D104:L104"/>
    <mergeCell ref="D105:E105"/>
    <mergeCell ref="D106:E106"/>
    <mergeCell ref="D107:E107"/>
    <mergeCell ref="D108:E108"/>
    <mergeCell ref="D109:E109"/>
    <mergeCell ref="B110:J110"/>
    <mergeCell ref="D124:E124"/>
    <mergeCell ref="D125:E125"/>
    <mergeCell ref="D126:E126"/>
    <mergeCell ref="D132:E132"/>
    <mergeCell ref="D133:E133"/>
    <mergeCell ref="D135:L135"/>
    <mergeCell ref="D159:E159"/>
    <mergeCell ref="D160:E160"/>
    <mergeCell ref="D161:E161"/>
    <mergeCell ref="D162:E162"/>
    <mergeCell ref="D163:E163"/>
    <mergeCell ref="B164:J164"/>
    <mergeCell ref="D180:E180"/>
    <mergeCell ref="D190:E190"/>
    <mergeCell ref="D191:E191"/>
    <mergeCell ref="B192:J192"/>
    <mergeCell ref="D225:L225"/>
    <mergeCell ref="D181:E181"/>
    <mergeCell ref="D182:E182"/>
    <mergeCell ref="D183:E183"/>
    <mergeCell ref="D408:E408"/>
    <mergeCell ref="B402:J402"/>
    <mergeCell ref="D385:L385"/>
    <mergeCell ref="D386:E386"/>
    <mergeCell ref="B389:J389"/>
    <mergeCell ref="D387:E387"/>
    <mergeCell ref="D388:E388"/>
    <mergeCell ref="D360:L360"/>
    <mergeCell ref="D361:E361"/>
    <mergeCell ref="D362:E362"/>
    <mergeCell ref="D363:E363"/>
    <mergeCell ref="D364:E364"/>
    <mergeCell ref="D368:E368"/>
    <mergeCell ref="B365:J365"/>
    <mergeCell ref="D332:E332"/>
    <mergeCell ref="D333:E333"/>
    <mergeCell ref="D491:E491"/>
    <mergeCell ref="D493:E493"/>
    <mergeCell ref="D494:E494"/>
    <mergeCell ref="D495:E495"/>
    <mergeCell ref="D492:E492"/>
    <mergeCell ref="D478:L478"/>
    <mergeCell ref="D479:E479"/>
    <mergeCell ref="D480:E480"/>
    <mergeCell ref="D481:E481"/>
    <mergeCell ref="D484:E484"/>
    <mergeCell ref="D485:E485"/>
    <mergeCell ref="D486:E486"/>
    <mergeCell ref="D482:E482"/>
    <mergeCell ref="D483:E483"/>
    <mergeCell ref="D172:L172"/>
    <mergeCell ref="D151:L151"/>
    <mergeCell ref="D152:E152"/>
    <mergeCell ref="D153:E153"/>
    <mergeCell ref="D154:E154"/>
    <mergeCell ref="B155:J155"/>
    <mergeCell ref="D157:E157"/>
    <mergeCell ref="D158:E158"/>
    <mergeCell ref="D168:E168"/>
    <mergeCell ref="D169:E169"/>
    <mergeCell ref="B171:J171"/>
    <mergeCell ref="D184:E184"/>
    <mergeCell ref="B185:J185"/>
    <mergeCell ref="D186:L186"/>
    <mergeCell ref="D187:E187"/>
    <mergeCell ref="D188:E188"/>
    <mergeCell ref="D189:E189"/>
    <mergeCell ref="D193:L193"/>
    <mergeCell ref="D194:E194"/>
    <mergeCell ref="D195:E195"/>
    <mergeCell ref="D196:E196"/>
    <mergeCell ref="D197:E197"/>
    <mergeCell ref="D198:E198"/>
    <mergeCell ref="B200:J200"/>
    <mergeCell ref="D199:E199"/>
    <mergeCell ref="D201:L201"/>
    <mergeCell ref="D202:E202"/>
    <mergeCell ref="D238:L238"/>
    <mergeCell ref="B237:J237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03:E203"/>
    <mergeCell ref="D204:E204"/>
    <mergeCell ref="D205:E205"/>
    <mergeCell ref="D206:E206"/>
    <mergeCell ref="D251:E251"/>
    <mergeCell ref="D252:E252"/>
    <mergeCell ref="B253:J253"/>
    <mergeCell ref="D254:L254"/>
    <mergeCell ref="D247:E247"/>
    <mergeCell ref="D248:E248"/>
    <mergeCell ref="D249:E249"/>
    <mergeCell ref="B245:J245"/>
    <mergeCell ref="D239:E239"/>
    <mergeCell ref="D240:E240"/>
    <mergeCell ref="D241:E241"/>
    <mergeCell ref="D242:E242"/>
    <mergeCell ref="D243:E243"/>
    <mergeCell ref="D244:E244"/>
    <mergeCell ref="D246:L246"/>
    <mergeCell ref="D250:E250"/>
    <mergeCell ref="D260:E260"/>
    <mergeCell ref="B268:J268"/>
    <mergeCell ref="D255:E255"/>
    <mergeCell ref="D256:E256"/>
    <mergeCell ref="D257:E257"/>
    <mergeCell ref="D258:E258"/>
    <mergeCell ref="D259:E259"/>
    <mergeCell ref="D261:E261"/>
    <mergeCell ref="D262:E262"/>
    <mergeCell ref="D263:E263"/>
    <mergeCell ref="D264:E264"/>
    <mergeCell ref="D265:E265"/>
    <mergeCell ref="D266:E266"/>
    <mergeCell ref="D267:E267"/>
    <mergeCell ref="B505:J505"/>
    <mergeCell ref="D269:L269"/>
    <mergeCell ref="D270:E270"/>
    <mergeCell ref="D271:E271"/>
    <mergeCell ref="D272:E272"/>
    <mergeCell ref="D273:E273"/>
    <mergeCell ref="D274:E274"/>
    <mergeCell ref="D275:E275"/>
    <mergeCell ref="D276:E276"/>
    <mergeCell ref="B277:J277"/>
    <mergeCell ref="D497:L497"/>
    <mergeCell ref="D498:E498"/>
    <mergeCell ref="B499:J499"/>
    <mergeCell ref="D458:E458"/>
    <mergeCell ref="D460:L460"/>
    <mergeCell ref="B466:J466"/>
    <mergeCell ref="D457:E457"/>
    <mergeCell ref="D462:E462"/>
    <mergeCell ref="D463:E463"/>
    <mergeCell ref="D464:E464"/>
    <mergeCell ref="D452:L452"/>
    <mergeCell ref="D390:L390"/>
    <mergeCell ref="D391:E391"/>
    <mergeCell ref="B394:J394"/>
    <mergeCell ref="D500:L500"/>
    <mergeCell ref="D501:E501"/>
    <mergeCell ref="B502:J502"/>
    <mergeCell ref="D503:L503"/>
    <mergeCell ref="D504:E504"/>
    <mergeCell ref="D392:E392"/>
    <mergeCell ref="D393:E393"/>
    <mergeCell ref="D395:L395"/>
    <mergeCell ref="D396:E396"/>
    <mergeCell ref="D397:E397"/>
    <mergeCell ref="B398:J398"/>
    <mergeCell ref="D439:E439"/>
    <mergeCell ref="D441:E441"/>
    <mergeCell ref="D443:E443"/>
    <mergeCell ref="D445:E445"/>
    <mergeCell ref="D447:E447"/>
    <mergeCell ref="D444:E444"/>
    <mergeCell ref="D440:E440"/>
    <mergeCell ref="D442:E442"/>
    <mergeCell ref="D446:E446"/>
    <mergeCell ref="B487:J487"/>
    <mergeCell ref="D488:L488"/>
    <mergeCell ref="D489:E489"/>
    <mergeCell ref="D490:E490"/>
    <mergeCell ref="D352:E352"/>
    <mergeCell ref="D353:E353"/>
    <mergeCell ref="B359:J359"/>
    <mergeCell ref="D346:E346"/>
    <mergeCell ref="D347:E347"/>
    <mergeCell ref="D348:E348"/>
    <mergeCell ref="D349:E349"/>
    <mergeCell ref="D354:E354"/>
    <mergeCell ref="D355:E355"/>
    <mergeCell ref="D356:E356"/>
    <mergeCell ref="D357:E357"/>
    <mergeCell ref="D358:E358"/>
    <mergeCell ref="D335:L335"/>
    <mergeCell ref="D336:E336"/>
    <mergeCell ref="D337:E337"/>
    <mergeCell ref="D338:E338"/>
    <mergeCell ref="D339:E339"/>
    <mergeCell ref="D340:E340"/>
    <mergeCell ref="B341:J341"/>
    <mergeCell ref="D350:E350"/>
    <mergeCell ref="D351:E351"/>
    <mergeCell ref="D342:L342"/>
    <mergeCell ref="D343:E343"/>
    <mergeCell ref="D344:E344"/>
    <mergeCell ref="D345:E345"/>
    <mergeCell ref="D526:L526"/>
    <mergeCell ref="D527:E527"/>
    <mergeCell ref="D528:E528"/>
    <mergeCell ref="D529:E529"/>
    <mergeCell ref="D530:E530"/>
    <mergeCell ref="D531:E531"/>
    <mergeCell ref="D532:E532"/>
    <mergeCell ref="D533:E533"/>
    <mergeCell ref="D534:E534"/>
    <mergeCell ref="D544:E544"/>
    <mergeCell ref="D545:E545"/>
    <mergeCell ref="D546:E546"/>
    <mergeCell ref="B547:J547"/>
    <mergeCell ref="D535:E535"/>
    <mergeCell ref="D536:E536"/>
    <mergeCell ref="D537:E537"/>
    <mergeCell ref="B538:J538"/>
    <mergeCell ref="D539:L539"/>
    <mergeCell ref="D540:E540"/>
    <mergeCell ref="D541:E541"/>
    <mergeCell ref="D542:E542"/>
    <mergeCell ref="D543:E543"/>
    <mergeCell ref="B224:J224"/>
    <mergeCell ref="D212:E212"/>
    <mergeCell ref="D213:E213"/>
    <mergeCell ref="D214:E214"/>
    <mergeCell ref="D215:E215"/>
    <mergeCell ref="B216:J216"/>
    <mergeCell ref="D217:L217"/>
    <mergeCell ref="D207:E207"/>
    <mergeCell ref="B208:J208"/>
    <mergeCell ref="D209:L209"/>
    <mergeCell ref="D210:E210"/>
    <mergeCell ref="D211:E211"/>
    <mergeCell ref="D222:E222"/>
    <mergeCell ref="D223:E223"/>
    <mergeCell ref="B220:J220"/>
    <mergeCell ref="D218:E218"/>
    <mergeCell ref="D219:E219"/>
    <mergeCell ref="D221:L221"/>
  </mergeCells>
  <conditionalFormatting sqref="B129:B133">
    <cfRule type="expression" dxfId="9" priority="1" stopIfTrue="1">
      <formula>AND($B129&lt;&gt;"COMPOSICAO",$B129&lt;&gt;"INSUMO",$B129&lt;&gt;"")</formula>
    </cfRule>
    <cfRule type="expression" dxfId="8" priority="2" stopIfTrue="1">
      <formula>AND(OR($B129="COMPOSICAO",$B129="INSUMO",$B129&lt;&gt;""),$B129&lt;&gt;"")</formula>
    </cfRule>
  </conditionalFormatting>
  <conditionalFormatting sqref="B453:B458">
    <cfRule type="expression" dxfId="7" priority="3" stopIfTrue="1">
      <formula>AND($A453&lt;&gt;"COMPOSICAO",$A453&lt;&gt;"INSUMO",$A453&lt;&gt;"")</formula>
    </cfRule>
    <cfRule type="expression" dxfId="6" priority="4" stopIfTrue="1">
      <formula>AND(OR($A453="COMPOSICAO",$A453="INSUMO",$A453&lt;&gt;""),$A453&lt;&gt;"")</formula>
    </cfRule>
  </conditionalFormatting>
  <conditionalFormatting sqref="B461:B465">
    <cfRule type="expression" dxfId="5" priority="763" stopIfTrue="1">
      <formula>AND($A461&lt;&gt;"COMPOSICAO",$A461&lt;&gt;"INSUMO",$A461&lt;&gt;"")</formula>
    </cfRule>
    <cfRule type="expression" dxfId="4" priority="764" stopIfTrue="1">
      <formula>AND(OR($A461="COMPOSICAO",$A461="INSUMO",$A461&lt;&gt;""),$A461&lt;&gt;"")</formula>
    </cfRule>
  </conditionalFormatting>
  <pageMargins left="0.98425196850393704" right="0.59055118110236227" top="0.74803149606299213" bottom="0.74803149606299213" header="0" footer="0"/>
  <pageSetup paperSize="9" scale="3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opLeftCell="F1" zoomScale="70" zoomScaleNormal="70" workbookViewId="0">
      <selection activeCell="R24" sqref="R24:R25"/>
    </sheetView>
  </sheetViews>
  <sheetFormatPr defaultColWidth="14.42578125" defaultRowHeight="15" customHeight="1"/>
  <cols>
    <col min="1" max="1" width="9.42578125" customWidth="1"/>
    <col min="2" max="3" width="13" customWidth="1"/>
    <col min="4" max="4" width="16.42578125" customWidth="1"/>
    <col min="5" max="5" width="22.42578125" customWidth="1"/>
    <col min="6" max="6" width="15.42578125" customWidth="1"/>
    <col min="7" max="7" width="14.42578125" customWidth="1"/>
    <col min="8" max="9" width="15.140625" customWidth="1"/>
    <col min="10" max="10" width="14.42578125" customWidth="1"/>
    <col min="11" max="11" width="15.42578125" customWidth="1"/>
    <col min="12" max="12" width="14.7109375" customWidth="1"/>
    <col min="13" max="13" width="15.5703125" customWidth="1"/>
    <col min="14" max="14" width="14.85546875" customWidth="1"/>
    <col min="15" max="15" width="16.28515625" customWidth="1"/>
    <col min="16" max="16" width="15.7109375" customWidth="1"/>
    <col min="17" max="17" width="16.28515625" customWidth="1"/>
    <col min="18" max="18" width="21.5703125" customWidth="1"/>
    <col min="19" max="19" width="8.7109375" customWidth="1"/>
    <col min="20" max="20" width="20.28515625" customWidth="1"/>
  </cols>
  <sheetData>
    <row r="1" spans="1:21" ht="12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1" ht="6.75" customHeight="1" thickBot="1">
      <c r="A2" s="56"/>
      <c r="B2" s="110"/>
      <c r="C2" s="111"/>
      <c r="D2" s="111"/>
      <c r="E2" s="111"/>
      <c r="F2" s="112"/>
      <c r="G2" s="112"/>
      <c r="H2" s="112"/>
      <c r="I2" s="113"/>
      <c r="J2" s="112"/>
      <c r="K2" s="112"/>
      <c r="L2" s="112"/>
      <c r="M2" s="112"/>
      <c r="N2" s="112"/>
      <c r="O2" s="112"/>
      <c r="P2" s="112"/>
      <c r="Q2" s="114"/>
      <c r="R2" s="115"/>
      <c r="S2" s="56"/>
    </row>
    <row r="3" spans="1:21" ht="15" customHeight="1">
      <c r="A3" s="56"/>
      <c r="B3" s="436"/>
      <c r="C3" s="367"/>
      <c r="D3" s="366" t="s">
        <v>508</v>
      </c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7"/>
      <c r="Q3" s="489"/>
      <c r="R3" s="367"/>
      <c r="S3" s="56"/>
    </row>
    <row r="4" spans="1:21" ht="15" customHeight="1">
      <c r="A4" s="56"/>
      <c r="B4" s="368"/>
      <c r="C4" s="369"/>
      <c r="D4" s="498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500"/>
      <c r="Q4" s="368"/>
      <c r="R4" s="369"/>
      <c r="S4" s="56"/>
    </row>
    <row r="5" spans="1:21" ht="15" customHeight="1" thickBot="1">
      <c r="A5" s="56"/>
      <c r="B5" s="368"/>
      <c r="C5" s="369"/>
      <c r="D5" s="501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3"/>
      <c r="Q5" s="368"/>
      <c r="R5" s="369"/>
      <c r="S5" s="56"/>
    </row>
    <row r="6" spans="1:21" ht="35.25" customHeight="1">
      <c r="A6" s="56"/>
      <c r="B6" s="368"/>
      <c r="C6" s="369"/>
      <c r="D6" s="223" t="s">
        <v>463</v>
      </c>
      <c r="E6" s="414" t="str">
        <f>'PLANILHA ORÇAMENTÁRIA'!E5</f>
        <v>EXECUÇÃO DE MANUTENÇÃO CONTÍNUA PREVENTIVA E CORRETIVA DAS VIAS VICINAIS E RURAIS</v>
      </c>
      <c r="F6" s="504"/>
      <c r="G6" s="504"/>
      <c r="H6" s="504"/>
      <c r="I6" s="504"/>
      <c r="J6" s="504"/>
      <c r="K6" s="504"/>
      <c r="L6" s="504"/>
      <c r="M6" s="505"/>
      <c r="N6" s="488" t="s">
        <v>503</v>
      </c>
      <c r="O6" s="403"/>
      <c r="P6" s="224">
        <f>'PLANILHA ORÇAMENTÁRIA'!G5</f>
        <v>0.47699999999999998</v>
      </c>
      <c r="Q6" s="368"/>
      <c r="R6" s="369"/>
      <c r="S6" s="56"/>
    </row>
    <row r="7" spans="1:21" ht="15" customHeight="1">
      <c r="A7" s="56"/>
      <c r="B7" s="368"/>
      <c r="C7" s="369"/>
      <c r="D7" s="52" t="s">
        <v>465</v>
      </c>
      <c r="E7" s="506" t="str">
        <f>'PLANILHA ORÇAMENTÁRIA'!E6</f>
        <v>SANTO ANTÔNIO DOS LOPES - MA</v>
      </c>
      <c r="F7" s="507"/>
      <c r="G7" s="507"/>
      <c r="H7" s="507"/>
      <c r="I7" s="507"/>
      <c r="J7" s="507"/>
      <c r="K7" s="507"/>
      <c r="L7" s="507"/>
      <c r="M7" s="508"/>
      <c r="N7" s="493" t="s">
        <v>467</v>
      </c>
      <c r="O7" s="365"/>
      <c r="P7" s="116">
        <f>'PLANILHA ORÇAMENTÁRIA'!G6</f>
        <v>0.84609999999999996</v>
      </c>
      <c r="Q7" s="368"/>
      <c r="R7" s="369"/>
      <c r="S7" s="56"/>
    </row>
    <row r="8" spans="1:21" ht="15" customHeight="1">
      <c r="A8" s="56"/>
      <c r="B8" s="368"/>
      <c r="C8" s="369"/>
      <c r="D8" s="225" t="s">
        <v>468</v>
      </c>
      <c r="E8" s="509" t="str">
        <f>'PLANILHA ORÇAMENTÁRIA'!E7</f>
        <v>DIVERSOS POVOADOS DO MUNICÍPIO DE SANTO ANTÔNIO DOS LOPES - MA</v>
      </c>
      <c r="F8" s="510"/>
      <c r="G8" s="510"/>
      <c r="H8" s="510"/>
      <c r="I8" s="510"/>
      <c r="J8" s="510"/>
      <c r="K8" s="510"/>
      <c r="L8" s="510"/>
      <c r="M8" s="511"/>
      <c r="N8" s="494" t="s">
        <v>469</v>
      </c>
      <c r="O8" s="395"/>
      <c r="P8" s="117">
        <f>'PLANILHA ORÇAMENTÁRIA'!G7</f>
        <v>45078</v>
      </c>
      <c r="Q8" s="368"/>
      <c r="R8" s="369"/>
      <c r="S8" s="56"/>
    </row>
    <row r="9" spans="1:21" ht="15.75" customHeight="1" thickBot="1">
      <c r="A9" s="56"/>
      <c r="B9" s="370"/>
      <c r="C9" s="371"/>
      <c r="D9" s="492"/>
      <c r="E9" s="385"/>
      <c r="F9" s="385"/>
      <c r="G9" s="512"/>
      <c r="H9" s="385"/>
      <c r="I9" s="226"/>
      <c r="J9" s="226"/>
      <c r="K9" s="226"/>
      <c r="L9" s="226"/>
      <c r="M9" s="227"/>
      <c r="N9" s="495" t="s">
        <v>470</v>
      </c>
      <c r="O9" s="385"/>
      <c r="P9" s="118">
        <f>'PLANILHA ORÇAMENTÁRIA'!G8</f>
        <v>0.24229999999999999</v>
      </c>
      <c r="Q9" s="370"/>
      <c r="R9" s="371"/>
      <c r="S9" s="56"/>
    </row>
    <row r="10" spans="1:21" ht="15.75" customHeight="1" thickBot="1">
      <c r="A10" s="56"/>
      <c r="B10" s="490" t="s">
        <v>539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71"/>
      <c r="S10" s="56"/>
    </row>
    <row r="11" spans="1:21" ht="12.75" customHeight="1" thickBot="1">
      <c r="A11" s="109"/>
      <c r="B11" s="491" t="s">
        <v>472</v>
      </c>
      <c r="C11" s="379"/>
      <c r="D11" s="491" t="s">
        <v>540</v>
      </c>
      <c r="E11" s="379"/>
      <c r="F11" s="119" t="s">
        <v>541</v>
      </c>
      <c r="G11" s="120" t="s">
        <v>542</v>
      </c>
      <c r="H11" s="119" t="s">
        <v>543</v>
      </c>
      <c r="I11" s="119" t="s">
        <v>544</v>
      </c>
      <c r="J11" s="119" t="s">
        <v>545</v>
      </c>
      <c r="K11" s="119" t="s">
        <v>671</v>
      </c>
      <c r="L11" s="119" t="s">
        <v>672</v>
      </c>
      <c r="M11" s="119" t="s">
        <v>673</v>
      </c>
      <c r="N11" s="119" t="s">
        <v>674</v>
      </c>
      <c r="O11" s="119" t="s">
        <v>675</v>
      </c>
      <c r="P11" s="119" t="s">
        <v>676</v>
      </c>
      <c r="Q11" s="119" t="s">
        <v>677</v>
      </c>
      <c r="R11" s="121" t="s">
        <v>546</v>
      </c>
      <c r="S11" s="109"/>
    </row>
    <row r="12" spans="1:21" ht="12.75" customHeight="1">
      <c r="A12" s="109"/>
      <c r="B12" s="485" t="s">
        <v>479</v>
      </c>
      <c r="C12" s="486"/>
      <c r="D12" s="487" t="s">
        <v>1121</v>
      </c>
      <c r="E12" s="418"/>
      <c r="F12" s="122">
        <v>8.3000000000000004E-2</v>
      </c>
      <c r="G12" s="122">
        <v>8.3000000000000004E-2</v>
      </c>
      <c r="H12" s="122">
        <v>8.3000000000000004E-2</v>
      </c>
      <c r="I12" s="122">
        <v>8.3000000000000004E-2</v>
      </c>
      <c r="J12" s="122">
        <v>8.3000000000000004E-2</v>
      </c>
      <c r="K12" s="122">
        <v>8.3000000000000004E-2</v>
      </c>
      <c r="L12" s="122">
        <v>8.3000000000000004E-2</v>
      </c>
      <c r="M12" s="122">
        <v>8.3000000000000004E-2</v>
      </c>
      <c r="N12" s="122">
        <v>8.3000000000000004E-2</v>
      </c>
      <c r="O12" s="122">
        <v>8.3000000000000004E-2</v>
      </c>
      <c r="P12" s="122">
        <v>8.3000000000000004E-2</v>
      </c>
      <c r="Q12" s="122">
        <v>8.6999999999999994E-2</v>
      </c>
      <c r="R12" s="389">
        <f>ORÇ.SINTETICO!I13</f>
        <v>365414.68</v>
      </c>
      <c r="S12" s="109"/>
    </row>
    <row r="13" spans="1:21" ht="12.75" customHeight="1" thickBot="1">
      <c r="A13" s="109"/>
      <c r="B13" s="408"/>
      <c r="C13" s="409"/>
      <c r="D13" s="400"/>
      <c r="E13" s="397"/>
      <c r="F13" s="123">
        <f>$R12*F12</f>
        <v>30329.418440000001</v>
      </c>
      <c r="G13" s="123">
        <f>$R12*G12</f>
        <v>30329.418440000001</v>
      </c>
      <c r="H13" s="123">
        <f>$R12*H12</f>
        <v>30329.418440000001</v>
      </c>
      <c r="I13" s="123">
        <f>$R12*I12</f>
        <v>30329.418440000001</v>
      </c>
      <c r="J13" s="123">
        <f t="shared" ref="J13:P13" si="0">$R12*J12</f>
        <v>30329.418440000001</v>
      </c>
      <c r="K13" s="123">
        <f t="shared" si="0"/>
        <v>30329.418440000001</v>
      </c>
      <c r="L13" s="123">
        <f t="shared" si="0"/>
        <v>30329.418440000001</v>
      </c>
      <c r="M13" s="123">
        <f t="shared" si="0"/>
        <v>30329.418440000001</v>
      </c>
      <c r="N13" s="123">
        <f t="shared" si="0"/>
        <v>30329.418440000001</v>
      </c>
      <c r="O13" s="123">
        <f t="shared" si="0"/>
        <v>30329.418440000001</v>
      </c>
      <c r="P13" s="123">
        <f t="shared" si="0"/>
        <v>30329.418440000001</v>
      </c>
      <c r="Q13" s="123">
        <f>$R12*Q12</f>
        <v>31791.077159999997</v>
      </c>
      <c r="R13" s="390"/>
      <c r="S13" s="109"/>
    </row>
    <row r="14" spans="1:21" ht="15" customHeight="1">
      <c r="A14" s="109"/>
      <c r="B14" s="485" t="s">
        <v>488</v>
      </c>
      <c r="C14" s="486"/>
      <c r="D14" s="487" t="str">
        <f>+ORÇ.SINTETICO!D15</f>
        <v>DRENAGEM</v>
      </c>
      <c r="E14" s="418"/>
      <c r="F14" s="122">
        <v>8.3000000000000004E-2</v>
      </c>
      <c r="G14" s="122">
        <v>8.3000000000000004E-2</v>
      </c>
      <c r="H14" s="122">
        <v>8.3000000000000004E-2</v>
      </c>
      <c r="I14" s="122">
        <v>8.3000000000000004E-2</v>
      </c>
      <c r="J14" s="122">
        <v>8.3000000000000004E-2</v>
      </c>
      <c r="K14" s="122">
        <v>8.3000000000000004E-2</v>
      </c>
      <c r="L14" s="122">
        <v>8.3000000000000004E-2</v>
      </c>
      <c r="M14" s="122">
        <v>8.3000000000000004E-2</v>
      </c>
      <c r="N14" s="122">
        <v>8.3000000000000004E-2</v>
      </c>
      <c r="O14" s="122">
        <v>8.3000000000000004E-2</v>
      </c>
      <c r="P14" s="122">
        <v>8.3000000000000004E-2</v>
      </c>
      <c r="Q14" s="122">
        <v>8.6999999999999994E-2</v>
      </c>
      <c r="R14" s="389">
        <f>ORÇ.SINTETICO!I15</f>
        <v>1588997.85</v>
      </c>
      <c r="S14" s="109"/>
      <c r="T14" s="221"/>
    </row>
    <row r="15" spans="1:21" ht="15.75" customHeight="1" thickBot="1">
      <c r="A15" s="109"/>
      <c r="B15" s="408"/>
      <c r="C15" s="409"/>
      <c r="D15" s="400"/>
      <c r="E15" s="397"/>
      <c r="F15" s="123">
        <f>$R14*F14</f>
        <v>131886.82155000002</v>
      </c>
      <c r="G15" s="123">
        <f>$R14*G14</f>
        <v>131886.82155000002</v>
      </c>
      <c r="H15" s="123">
        <f>$R14*H14</f>
        <v>131886.82155000002</v>
      </c>
      <c r="I15" s="123">
        <f>$R14*I14</f>
        <v>131886.82155000002</v>
      </c>
      <c r="J15" s="123">
        <f t="shared" ref="J15:P15" si="1">$R14*J14</f>
        <v>131886.82155000002</v>
      </c>
      <c r="K15" s="123">
        <f t="shared" si="1"/>
        <v>131886.82155000002</v>
      </c>
      <c r="L15" s="123">
        <f t="shared" si="1"/>
        <v>131886.82155000002</v>
      </c>
      <c r="M15" s="123">
        <f t="shared" si="1"/>
        <v>131886.82155000002</v>
      </c>
      <c r="N15" s="123">
        <f t="shared" si="1"/>
        <v>131886.82155000002</v>
      </c>
      <c r="O15" s="123">
        <f t="shared" si="1"/>
        <v>131886.82155000002</v>
      </c>
      <c r="P15" s="123">
        <f t="shared" si="1"/>
        <v>131886.82155000002</v>
      </c>
      <c r="Q15" s="123">
        <f>$R14*Q14</f>
        <v>138242.81294999999</v>
      </c>
      <c r="R15" s="390"/>
      <c r="S15" s="109"/>
      <c r="T15" s="222"/>
      <c r="U15" s="221"/>
    </row>
    <row r="16" spans="1:21" ht="12.75" customHeight="1">
      <c r="A16" s="109"/>
      <c r="B16" s="485" t="s">
        <v>493</v>
      </c>
      <c r="C16" s="486"/>
      <c r="D16" s="487" t="str">
        <f>+ORÇ.SINTETICO!D17</f>
        <v>TERRAPLENAGEM</v>
      </c>
      <c r="E16" s="418"/>
      <c r="F16" s="122">
        <v>8.3000000000000004E-2</v>
      </c>
      <c r="G16" s="122">
        <v>8.3000000000000004E-2</v>
      </c>
      <c r="H16" s="122">
        <v>8.3000000000000004E-2</v>
      </c>
      <c r="I16" s="122">
        <v>8.3000000000000004E-2</v>
      </c>
      <c r="J16" s="122">
        <v>8.3000000000000004E-2</v>
      </c>
      <c r="K16" s="122">
        <v>8.3000000000000004E-2</v>
      </c>
      <c r="L16" s="122">
        <v>8.3000000000000004E-2</v>
      </c>
      <c r="M16" s="122">
        <v>8.3000000000000004E-2</v>
      </c>
      <c r="N16" s="122">
        <v>8.3000000000000004E-2</v>
      </c>
      <c r="O16" s="122">
        <v>8.3000000000000004E-2</v>
      </c>
      <c r="P16" s="122">
        <v>8.3000000000000004E-2</v>
      </c>
      <c r="Q16" s="122">
        <v>8.6999999999999994E-2</v>
      </c>
      <c r="R16" s="389">
        <f>+ORÇ.SINTETICO!I17</f>
        <v>4372806.21</v>
      </c>
      <c r="S16" s="109"/>
    </row>
    <row r="17" spans="1:20" ht="12.75" customHeight="1" thickBot="1">
      <c r="A17" s="109"/>
      <c r="B17" s="408"/>
      <c r="C17" s="409"/>
      <c r="D17" s="400"/>
      <c r="E17" s="397"/>
      <c r="F17" s="123">
        <f>$R16*F16</f>
        <v>362942.91542999999</v>
      </c>
      <c r="G17" s="123">
        <f>$R16*G16</f>
        <v>362942.91542999999</v>
      </c>
      <c r="H17" s="123">
        <f>$R16*H16</f>
        <v>362942.91542999999</v>
      </c>
      <c r="I17" s="123">
        <f>$R16*I16</f>
        <v>362942.91542999999</v>
      </c>
      <c r="J17" s="123">
        <f t="shared" ref="J17:P17" si="2">$R16*J16</f>
        <v>362942.91542999999</v>
      </c>
      <c r="K17" s="123">
        <f t="shared" si="2"/>
        <v>362942.91542999999</v>
      </c>
      <c r="L17" s="123">
        <f t="shared" si="2"/>
        <v>362942.91542999999</v>
      </c>
      <c r="M17" s="123">
        <f t="shared" si="2"/>
        <v>362942.91542999999</v>
      </c>
      <c r="N17" s="123">
        <f t="shared" si="2"/>
        <v>362942.91542999999</v>
      </c>
      <c r="O17" s="123">
        <f t="shared" si="2"/>
        <v>362942.91542999999</v>
      </c>
      <c r="P17" s="123">
        <f t="shared" si="2"/>
        <v>362942.91542999999</v>
      </c>
      <c r="Q17" s="123">
        <f>$R16*Q16</f>
        <v>380434.14026999997</v>
      </c>
      <c r="R17" s="390"/>
      <c r="S17" s="109"/>
      <c r="T17" s="221"/>
    </row>
    <row r="18" spans="1:20" ht="12.75" customHeight="1">
      <c r="A18" s="109"/>
      <c r="B18" s="485" t="s">
        <v>494</v>
      </c>
      <c r="C18" s="486"/>
      <c r="D18" s="487" t="str">
        <f>+ORÇ.SINTETICO!D19</f>
        <v>MANUTENÇÃO DAS PONTES</v>
      </c>
      <c r="E18" s="418"/>
      <c r="F18" s="122">
        <v>8.3000000000000004E-2</v>
      </c>
      <c r="G18" s="122">
        <v>8.3000000000000004E-2</v>
      </c>
      <c r="H18" s="122">
        <v>8.3000000000000004E-2</v>
      </c>
      <c r="I18" s="122">
        <v>8.3000000000000004E-2</v>
      </c>
      <c r="J18" s="122">
        <v>8.3000000000000004E-2</v>
      </c>
      <c r="K18" s="122">
        <v>8.3000000000000004E-2</v>
      </c>
      <c r="L18" s="122">
        <v>8.3000000000000004E-2</v>
      </c>
      <c r="M18" s="122">
        <v>8.3000000000000004E-2</v>
      </c>
      <c r="N18" s="122">
        <v>8.3000000000000004E-2</v>
      </c>
      <c r="O18" s="122">
        <v>8.3000000000000004E-2</v>
      </c>
      <c r="P18" s="122">
        <v>8.3000000000000004E-2</v>
      </c>
      <c r="Q18" s="122">
        <v>8.6999999999999994E-2</v>
      </c>
      <c r="R18" s="389">
        <f>+ORÇ.SINTETICO!I19</f>
        <v>1132125.9300000002</v>
      </c>
      <c r="S18" s="109"/>
    </row>
    <row r="19" spans="1:20" ht="12.75" customHeight="1" thickBot="1">
      <c r="A19" s="109"/>
      <c r="B19" s="408"/>
      <c r="C19" s="409"/>
      <c r="D19" s="400"/>
      <c r="E19" s="397"/>
      <c r="F19" s="123">
        <f>$R18*F18</f>
        <v>93966.452190000025</v>
      </c>
      <c r="G19" s="123">
        <f>$R18*G18</f>
        <v>93966.452190000025</v>
      </c>
      <c r="H19" s="123">
        <f>$R18*H18</f>
        <v>93966.452190000025</v>
      </c>
      <c r="I19" s="123">
        <f>$R18*I18</f>
        <v>93966.452190000025</v>
      </c>
      <c r="J19" s="123">
        <f t="shared" ref="J19" si="3">$R18*J18</f>
        <v>93966.452190000025</v>
      </c>
      <c r="K19" s="123">
        <f t="shared" ref="K19" si="4">$R18*K18</f>
        <v>93966.452190000025</v>
      </c>
      <c r="L19" s="123">
        <f t="shared" ref="L19" si="5">$R18*L18</f>
        <v>93966.452190000025</v>
      </c>
      <c r="M19" s="123">
        <f t="shared" ref="M19" si="6">$R18*M18</f>
        <v>93966.452190000025</v>
      </c>
      <c r="N19" s="123">
        <f t="shared" ref="N19" si="7">$R18*N18</f>
        <v>93966.452190000025</v>
      </c>
      <c r="O19" s="123">
        <f t="shared" ref="O19" si="8">$R18*O18</f>
        <v>93966.452190000025</v>
      </c>
      <c r="P19" s="123">
        <f t="shared" ref="P19" si="9">$R18*P18</f>
        <v>93966.452190000025</v>
      </c>
      <c r="Q19" s="123">
        <f>$R18*Q18</f>
        <v>98494.955910000004</v>
      </c>
      <c r="R19" s="390"/>
      <c r="S19" s="109"/>
    </row>
    <row r="20" spans="1:20" ht="12.75" customHeight="1">
      <c r="A20" s="109"/>
      <c r="B20" s="485" t="s">
        <v>969</v>
      </c>
      <c r="C20" s="486"/>
      <c r="D20" s="487" t="str">
        <f>+ORÇ.SINTETICO!D21</f>
        <v>MATERIAIS</v>
      </c>
      <c r="E20" s="418"/>
      <c r="F20" s="122">
        <v>8.3000000000000004E-2</v>
      </c>
      <c r="G20" s="122">
        <v>8.3000000000000004E-2</v>
      </c>
      <c r="H20" s="122">
        <v>8.3000000000000004E-2</v>
      </c>
      <c r="I20" s="122">
        <v>8.3000000000000004E-2</v>
      </c>
      <c r="J20" s="122">
        <v>8.3000000000000004E-2</v>
      </c>
      <c r="K20" s="122">
        <v>8.3000000000000004E-2</v>
      </c>
      <c r="L20" s="122">
        <v>8.3000000000000004E-2</v>
      </c>
      <c r="M20" s="122">
        <v>8.3000000000000004E-2</v>
      </c>
      <c r="N20" s="122">
        <v>8.3000000000000004E-2</v>
      </c>
      <c r="O20" s="122">
        <v>8.3000000000000004E-2</v>
      </c>
      <c r="P20" s="122">
        <v>8.3000000000000004E-2</v>
      </c>
      <c r="Q20" s="122">
        <v>8.6999999999999994E-2</v>
      </c>
      <c r="R20" s="389">
        <f>+ORÇ.SINTETICO!I21</f>
        <v>5208300</v>
      </c>
      <c r="S20" s="109"/>
    </row>
    <row r="21" spans="1:20" ht="12.75" customHeight="1" thickBot="1">
      <c r="A21" s="109"/>
      <c r="B21" s="408"/>
      <c r="C21" s="409"/>
      <c r="D21" s="400"/>
      <c r="E21" s="397"/>
      <c r="F21" s="123">
        <f>$R20*F20</f>
        <v>432288.9</v>
      </c>
      <c r="G21" s="123">
        <f>$R20*G20</f>
        <v>432288.9</v>
      </c>
      <c r="H21" s="123">
        <f>$R20*H20</f>
        <v>432288.9</v>
      </c>
      <c r="I21" s="123">
        <f>$R20*I20</f>
        <v>432288.9</v>
      </c>
      <c r="J21" s="123">
        <f t="shared" ref="J21:J23" si="10">$R20*J20</f>
        <v>432288.9</v>
      </c>
      <c r="K21" s="123">
        <f t="shared" ref="K21:K23" si="11">$R20*K20</f>
        <v>432288.9</v>
      </c>
      <c r="L21" s="123">
        <f t="shared" ref="L21:L23" si="12">$R20*L20</f>
        <v>432288.9</v>
      </c>
      <c r="M21" s="123">
        <f t="shared" ref="M21:M23" si="13">$R20*M20</f>
        <v>432288.9</v>
      </c>
      <c r="N21" s="123">
        <f t="shared" ref="N21:N23" si="14">$R20*N20</f>
        <v>432288.9</v>
      </c>
      <c r="O21" s="123">
        <f t="shared" ref="O21:O23" si="15">$R20*O20</f>
        <v>432288.9</v>
      </c>
      <c r="P21" s="123">
        <f t="shared" ref="P21:P23" si="16">$R20*P20</f>
        <v>432288.9</v>
      </c>
      <c r="Q21" s="123">
        <f>$R20*Q20</f>
        <v>453122.1</v>
      </c>
      <c r="R21" s="390"/>
      <c r="S21" s="109"/>
    </row>
    <row r="22" spans="1:20" ht="12.75" customHeight="1">
      <c r="A22" s="109"/>
      <c r="B22" s="485" t="s">
        <v>1166</v>
      </c>
      <c r="C22" s="486"/>
      <c r="D22" s="487" t="str">
        <f>ORÇ.SINTETICO!D23</f>
        <v>SERVIÇOS COMPLEMENTARES</v>
      </c>
      <c r="E22" s="418"/>
      <c r="F22" s="122">
        <v>8.3000000000000004E-2</v>
      </c>
      <c r="G22" s="122">
        <v>8.3000000000000004E-2</v>
      </c>
      <c r="H22" s="122">
        <v>8.3000000000000004E-2</v>
      </c>
      <c r="I22" s="122">
        <v>8.3000000000000004E-2</v>
      </c>
      <c r="J22" s="122">
        <v>8.3000000000000004E-2</v>
      </c>
      <c r="K22" s="122">
        <v>8.3000000000000004E-2</v>
      </c>
      <c r="L22" s="122">
        <v>8.3000000000000004E-2</v>
      </c>
      <c r="M22" s="122">
        <v>8.3000000000000004E-2</v>
      </c>
      <c r="N22" s="122">
        <v>8.3000000000000004E-2</v>
      </c>
      <c r="O22" s="122">
        <v>8.3000000000000004E-2</v>
      </c>
      <c r="P22" s="122">
        <v>8.3000000000000004E-2</v>
      </c>
      <c r="Q22" s="122">
        <v>8.6999999999999994E-2</v>
      </c>
      <c r="R22" s="389">
        <f>ORÇ.SINTETICO!I23</f>
        <v>230090</v>
      </c>
      <c r="S22" s="109"/>
    </row>
    <row r="23" spans="1:20" ht="12.75" customHeight="1" thickBot="1">
      <c r="A23" s="109"/>
      <c r="B23" s="408"/>
      <c r="C23" s="409"/>
      <c r="D23" s="400"/>
      <c r="E23" s="397"/>
      <c r="F23" s="123">
        <f>$R22*F22</f>
        <v>19097.47</v>
      </c>
      <c r="G23" s="123">
        <f>$R22*G22</f>
        <v>19097.47</v>
      </c>
      <c r="H23" s="123">
        <f>$R22*H22</f>
        <v>19097.47</v>
      </c>
      <c r="I23" s="123">
        <f>$R22*I22</f>
        <v>19097.47</v>
      </c>
      <c r="J23" s="123">
        <f t="shared" si="10"/>
        <v>19097.47</v>
      </c>
      <c r="K23" s="123">
        <f t="shared" si="11"/>
        <v>19097.47</v>
      </c>
      <c r="L23" s="123">
        <f t="shared" si="12"/>
        <v>19097.47</v>
      </c>
      <c r="M23" s="123">
        <f t="shared" si="13"/>
        <v>19097.47</v>
      </c>
      <c r="N23" s="123">
        <f t="shared" si="14"/>
        <v>19097.47</v>
      </c>
      <c r="O23" s="123">
        <f t="shared" si="15"/>
        <v>19097.47</v>
      </c>
      <c r="P23" s="123">
        <f t="shared" si="16"/>
        <v>19097.47</v>
      </c>
      <c r="Q23" s="123">
        <f>$R22*Q22</f>
        <v>20017.829999999998</v>
      </c>
      <c r="R23" s="390"/>
      <c r="S23" s="109"/>
    </row>
    <row r="24" spans="1:20" ht="19.5" customHeight="1">
      <c r="A24" s="109"/>
      <c r="B24" s="517" t="s">
        <v>547</v>
      </c>
      <c r="C24" s="518"/>
      <c r="D24" s="518"/>
      <c r="E24" s="376"/>
      <c r="F24" s="124">
        <f t="shared" ref="F24:Q24" si="17">F13+F15+F17+F19+F21+F23</f>
        <v>1070511.9776099999</v>
      </c>
      <c r="G24" s="124">
        <f t="shared" si="17"/>
        <v>1070511.9776099999</v>
      </c>
      <c r="H24" s="124">
        <f t="shared" si="17"/>
        <v>1070511.9776099999</v>
      </c>
      <c r="I24" s="124">
        <f t="shared" si="17"/>
        <v>1070511.9776099999</v>
      </c>
      <c r="J24" s="124">
        <f t="shared" si="17"/>
        <v>1070511.9776099999</v>
      </c>
      <c r="K24" s="124">
        <f t="shared" si="17"/>
        <v>1070511.9776099999</v>
      </c>
      <c r="L24" s="124">
        <f t="shared" si="17"/>
        <v>1070511.9776099999</v>
      </c>
      <c r="M24" s="124">
        <f t="shared" si="17"/>
        <v>1070511.9776099999</v>
      </c>
      <c r="N24" s="124">
        <f t="shared" si="17"/>
        <v>1070511.9776099999</v>
      </c>
      <c r="O24" s="124">
        <f t="shared" si="17"/>
        <v>1070511.9776099999</v>
      </c>
      <c r="P24" s="124">
        <f t="shared" si="17"/>
        <v>1070511.9776099999</v>
      </c>
      <c r="Q24" s="124">
        <f t="shared" si="17"/>
        <v>1122102.9162900001</v>
      </c>
      <c r="R24" s="514">
        <f>SUM(R14:R23)</f>
        <v>12532319.99</v>
      </c>
      <c r="S24" s="109"/>
    </row>
    <row r="25" spans="1:20" ht="15.75" customHeight="1">
      <c r="A25" s="109"/>
      <c r="B25" s="513" t="s">
        <v>548</v>
      </c>
      <c r="C25" s="364"/>
      <c r="D25" s="364"/>
      <c r="E25" s="365"/>
      <c r="F25" s="125">
        <f>F24/$R$24</f>
        <v>8.5420096076720103E-2</v>
      </c>
      <c r="G25" s="125">
        <f t="shared" ref="G25:Q25" si="18">G24/$R$24</f>
        <v>8.5420096076720103E-2</v>
      </c>
      <c r="H25" s="125">
        <f t="shared" si="18"/>
        <v>8.5420096076720103E-2</v>
      </c>
      <c r="I25" s="125">
        <f t="shared" si="18"/>
        <v>8.5420096076720103E-2</v>
      </c>
      <c r="J25" s="125">
        <f t="shared" si="18"/>
        <v>8.5420096076720103E-2</v>
      </c>
      <c r="K25" s="125">
        <f t="shared" si="18"/>
        <v>8.5420096076720103E-2</v>
      </c>
      <c r="L25" s="125">
        <f t="shared" si="18"/>
        <v>8.5420096076720103E-2</v>
      </c>
      <c r="M25" s="125">
        <f t="shared" si="18"/>
        <v>8.5420096076720103E-2</v>
      </c>
      <c r="N25" s="125">
        <f t="shared" si="18"/>
        <v>8.5420096076720103E-2</v>
      </c>
      <c r="O25" s="125">
        <f t="shared" si="18"/>
        <v>8.5420096076720103E-2</v>
      </c>
      <c r="P25" s="125">
        <f t="shared" si="18"/>
        <v>8.5420096076720103E-2</v>
      </c>
      <c r="Q25" s="125">
        <f t="shared" si="18"/>
        <v>8.9536727212947587E-2</v>
      </c>
      <c r="R25" s="412"/>
      <c r="S25" s="109"/>
    </row>
    <row r="26" spans="1:20" ht="12.75" customHeight="1">
      <c r="A26" s="109"/>
      <c r="B26" s="513" t="s">
        <v>549</v>
      </c>
      <c r="C26" s="364"/>
      <c r="D26" s="364"/>
      <c r="E26" s="365"/>
      <c r="F26" s="126">
        <f>F24</f>
        <v>1070511.9776099999</v>
      </c>
      <c r="G26" s="126">
        <f>+G24+F24</f>
        <v>2141023.9552199999</v>
      </c>
      <c r="H26" s="126">
        <f>+H24+G26</f>
        <v>3211535.9328299998</v>
      </c>
      <c r="I26" s="126">
        <f>+I24+H26</f>
        <v>4282047.9104399998</v>
      </c>
      <c r="J26" s="126">
        <f t="shared" ref="J26:P26" si="19">+J24+I26</f>
        <v>5352559.8880499993</v>
      </c>
      <c r="K26" s="126">
        <f t="shared" si="19"/>
        <v>6423071.8656599987</v>
      </c>
      <c r="L26" s="126">
        <f t="shared" si="19"/>
        <v>7493583.8432699982</v>
      </c>
      <c r="M26" s="126">
        <f t="shared" si="19"/>
        <v>8564095.8208799977</v>
      </c>
      <c r="N26" s="126">
        <f t="shared" si="19"/>
        <v>9634607.7984899972</v>
      </c>
      <c r="O26" s="126">
        <f t="shared" si="19"/>
        <v>10705119.776099997</v>
      </c>
      <c r="P26" s="126">
        <f t="shared" si="19"/>
        <v>11775631.753709996</v>
      </c>
      <c r="Q26" s="126">
        <f>+Q24+P26</f>
        <v>12897734.669999996</v>
      </c>
      <c r="R26" s="514">
        <f>Q26</f>
        <v>12897734.669999996</v>
      </c>
      <c r="S26" s="109"/>
    </row>
    <row r="27" spans="1:20" ht="12.75" customHeight="1" thickBot="1">
      <c r="A27" s="109"/>
      <c r="B27" s="516" t="s">
        <v>550</v>
      </c>
      <c r="C27" s="385"/>
      <c r="D27" s="385"/>
      <c r="E27" s="374"/>
      <c r="F27" s="127">
        <f>F26/R26</f>
        <v>8.3000000000000018E-2</v>
      </c>
      <c r="G27" s="127">
        <f>G26/$R$26</f>
        <v>0.16600000000000004</v>
      </c>
      <c r="H27" s="127">
        <f t="shared" ref="H27:Q27" si="20">H26/$R$26</f>
        <v>0.24900000000000005</v>
      </c>
      <c r="I27" s="127">
        <f t="shared" si="20"/>
        <v>0.33200000000000007</v>
      </c>
      <c r="J27" s="127">
        <f t="shared" si="20"/>
        <v>0.41500000000000009</v>
      </c>
      <c r="K27" s="127">
        <f t="shared" si="20"/>
        <v>0.49800000000000005</v>
      </c>
      <c r="L27" s="127">
        <f t="shared" si="20"/>
        <v>0.58100000000000007</v>
      </c>
      <c r="M27" s="127">
        <f t="shared" si="20"/>
        <v>0.66400000000000003</v>
      </c>
      <c r="N27" s="127">
        <f t="shared" si="20"/>
        <v>0.747</v>
      </c>
      <c r="O27" s="127">
        <f t="shared" si="20"/>
        <v>0.83</v>
      </c>
      <c r="P27" s="127">
        <f t="shared" si="20"/>
        <v>0.91299999999999992</v>
      </c>
      <c r="Q27" s="127">
        <f t="shared" si="20"/>
        <v>1</v>
      </c>
      <c r="R27" s="515"/>
      <c r="S27" s="109"/>
    </row>
    <row r="28" spans="1:20" ht="12.7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28"/>
      <c r="S28" s="109"/>
    </row>
    <row r="29" spans="1:20" ht="12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</row>
    <row r="30" spans="1:20" ht="12.7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pans="1:20" ht="12.7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20" ht="12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spans="1:19" ht="12.7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spans="1:19" ht="12.7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  <row r="35" spans="1:19" ht="12.7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</row>
    <row r="36" spans="1:19" ht="12.75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spans="1:19" ht="12.75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1:19" ht="12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1:19" ht="12.75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spans="1:19" ht="12.75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spans="1:19" ht="12.7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spans="1:19" ht="12.75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</row>
    <row r="43" spans="1:19" ht="12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</row>
    <row r="44" spans="1:19" ht="12.7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</row>
    <row r="45" spans="1:19" ht="12.75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spans="1:19" ht="12.7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</row>
    <row r="47" spans="1:19" ht="12.7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</row>
    <row r="48" spans="1:19" ht="12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</row>
    <row r="49" spans="1:19" ht="12.75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</row>
    <row r="50" spans="1:19" ht="12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</row>
    <row r="51" spans="1:19" ht="12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</row>
    <row r="52" spans="1:19" ht="12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</row>
    <row r="53" spans="1:19" ht="12.7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12.75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.7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</row>
    <row r="56" spans="1:19" ht="12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</row>
    <row r="57" spans="1:19" ht="12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</row>
    <row r="58" spans="1:19" ht="12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</row>
    <row r="59" spans="1:19" ht="12.7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spans="1:19" ht="12.75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1" spans="1:19" ht="12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</row>
    <row r="62" spans="1:19" ht="12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</row>
    <row r="63" spans="1:19" ht="12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  <row r="64" spans="1:19" ht="12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1:19" ht="12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pans="1:19" ht="12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1:19" ht="12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pans="1:19" ht="12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</row>
    <row r="69" spans="1:19" ht="12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</row>
    <row r="70" spans="1:19" ht="12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</row>
    <row r="71" spans="1:19" ht="12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</row>
    <row r="72" spans="1:19" ht="12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</row>
    <row r="73" spans="1:19" ht="12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</row>
    <row r="74" spans="1:19" ht="12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</row>
    <row r="75" spans="1:19" ht="12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</row>
    <row r="76" spans="1:19" ht="12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</row>
    <row r="77" spans="1:19" ht="12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</row>
    <row r="78" spans="1:19" ht="12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</row>
    <row r="79" spans="1:19" ht="12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</row>
    <row r="80" spans="1:19" ht="12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1" spans="1:19" ht="12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</row>
    <row r="82" spans="1:19" ht="12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</row>
  </sheetData>
  <mergeCells count="39">
    <mergeCell ref="B12:C13"/>
    <mergeCell ref="D12:E13"/>
    <mergeCell ref="R12:R13"/>
    <mergeCell ref="B26:E26"/>
    <mergeCell ref="R26:R27"/>
    <mergeCell ref="B27:E27"/>
    <mergeCell ref="B24:E24"/>
    <mergeCell ref="B25:E25"/>
    <mergeCell ref="R24:R25"/>
    <mergeCell ref="R20:R21"/>
    <mergeCell ref="B14:C15"/>
    <mergeCell ref="B16:C17"/>
    <mergeCell ref="B18:C19"/>
    <mergeCell ref="B20:C21"/>
    <mergeCell ref="D14:E15"/>
    <mergeCell ref="D16:E17"/>
    <mergeCell ref="D18:E19"/>
    <mergeCell ref="D20:E21"/>
    <mergeCell ref="E8:M8"/>
    <mergeCell ref="G9:H9"/>
    <mergeCell ref="R14:R15"/>
    <mergeCell ref="R16:R17"/>
    <mergeCell ref="R18:R19"/>
    <mergeCell ref="B22:C23"/>
    <mergeCell ref="D22:E23"/>
    <mergeCell ref="R22:R23"/>
    <mergeCell ref="N6:O6"/>
    <mergeCell ref="Q3:R9"/>
    <mergeCell ref="B10:R10"/>
    <mergeCell ref="D11:E11"/>
    <mergeCell ref="B3:C9"/>
    <mergeCell ref="B11:C11"/>
    <mergeCell ref="D9:F9"/>
    <mergeCell ref="N7:O7"/>
    <mergeCell ref="N8:O8"/>
    <mergeCell ref="N9:O9"/>
    <mergeCell ref="D3:P5"/>
    <mergeCell ref="E6:M6"/>
    <mergeCell ref="E7:M7"/>
  </mergeCells>
  <pageMargins left="0.98425196850393704" right="0.59055118110236227" top="0.78740157480314965" bottom="0.78740157480314965" header="0" footer="0"/>
  <pageSetup paperSize="9" scale="4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zoomScale="70" zoomScaleNormal="70" workbookViewId="0">
      <selection activeCell="G25" sqref="G25"/>
    </sheetView>
  </sheetViews>
  <sheetFormatPr defaultColWidth="14.42578125" defaultRowHeight="15" customHeight="1"/>
  <cols>
    <col min="1" max="1" width="9.42578125" customWidth="1"/>
    <col min="2" max="2" width="15.42578125" customWidth="1"/>
    <col min="3" max="3" width="16.42578125" customWidth="1"/>
    <col min="4" max="4" width="15.85546875" customWidth="1"/>
    <col min="5" max="5" width="64.42578125" customWidth="1"/>
    <col min="6" max="6" width="5" customWidth="1"/>
    <col min="7" max="7" width="31.42578125" customWidth="1"/>
    <col min="8" max="8" width="17.42578125" customWidth="1"/>
    <col min="9" max="10" width="8.7109375" customWidth="1"/>
  </cols>
  <sheetData>
    <row r="1" spans="1:10" ht="12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0" ht="24" customHeight="1">
      <c r="A2" s="109"/>
      <c r="B2" s="366"/>
      <c r="C2" s="418"/>
      <c r="D2" s="437" t="s">
        <v>462</v>
      </c>
      <c r="E2" s="418"/>
      <c r="F2" s="522"/>
      <c r="G2" s="367"/>
      <c r="H2" s="109"/>
      <c r="I2" s="109"/>
      <c r="J2" s="109"/>
    </row>
    <row r="3" spans="1:10" ht="15.75" customHeight="1">
      <c r="A3" s="109"/>
      <c r="B3" s="368"/>
      <c r="C3" s="421"/>
      <c r="D3" s="405"/>
      <c r="E3" s="403"/>
      <c r="F3" s="433"/>
      <c r="G3" s="369"/>
      <c r="H3" s="109"/>
      <c r="I3" s="109"/>
      <c r="J3" s="109"/>
    </row>
    <row r="4" spans="1:10" ht="35.25" customHeight="1">
      <c r="A4" s="109"/>
      <c r="B4" s="368"/>
      <c r="C4" s="421"/>
      <c r="D4" s="81" t="s">
        <v>463</v>
      </c>
      <c r="E4" s="359" t="str">
        <f>'PLANILHA ORÇAMENTÁRIA'!E5</f>
        <v>EXECUÇÃO DE MANUTENÇÃO CONTÍNUA PREVENTIVA E CORRETIVA DAS VIAS VICINAIS E RURAIS</v>
      </c>
      <c r="F4" s="433"/>
      <c r="G4" s="369"/>
      <c r="H4" s="109"/>
      <c r="I4" s="109"/>
      <c r="J4" s="109"/>
    </row>
    <row r="5" spans="1:10" ht="19.5" customHeight="1">
      <c r="A5" s="109"/>
      <c r="B5" s="368"/>
      <c r="C5" s="421"/>
      <c r="D5" s="81" t="s">
        <v>551</v>
      </c>
      <c r="E5" s="129" t="str">
        <f>'PLANILHA ORÇAMENTÁRIA'!E6</f>
        <v>SANTO ANTÔNIO DOS LOPES - MA</v>
      </c>
      <c r="F5" s="433"/>
      <c r="G5" s="369"/>
      <c r="H5" s="109"/>
      <c r="I5" s="109"/>
      <c r="J5" s="109"/>
    </row>
    <row r="6" spans="1:10" ht="39.75" customHeight="1">
      <c r="A6" s="109"/>
      <c r="B6" s="402"/>
      <c r="C6" s="403"/>
      <c r="D6" s="81" t="s">
        <v>468</v>
      </c>
      <c r="E6" s="360" t="str">
        <f>'PLANILHA ORÇAMENTÁRIA'!E7</f>
        <v>DIVERSOS POVOADOS DO MUNICÍPIO DE SANTO ANTÔNIO DOS LOPES - MA</v>
      </c>
      <c r="F6" s="405"/>
      <c r="G6" s="388"/>
      <c r="H6" s="109"/>
      <c r="I6" s="109"/>
      <c r="J6" s="109"/>
    </row>
    <row r="7" spans="1:10" ht="26.25" customHeight="1">
      <c r="A7" s="109"/>
      <c r="B7" s="525" t="s">
        <v>552</v>
      </c>
      <c r="C7" s="364"/>
      <c r="D7" s="364"/>
      <c r="E7" s="364"/>
      <c r="F7" s="364"/>
      <c r="G7" s="428"/>
      <c r="H7" s="109"/>
      <c r="I7" s="109"/>
      <c r="J7" s="109"/>
    </row>
    <row r="8" spans="1:10" ht="15" customHeight="1">
      <c r="A8" s="109"/>
      <c r="B8" s="523" t="s">
        <v>479</v>
      </c>
      <c r="C8" s="365"/>
      <c r="D8" s="520" t="s">
        <v>553</v>
      </c>
      <c r="E8" s="364"/>
      <c r="F8" s="365"/>
      <c r="G8" s="130">
        <f>SUM(G9:G12)</f>
        <v>4.8899999999999999E-2</v>
      </c>
      <c r="H8" s="131"/>
      <c r="I8" s="109"/>
      <c r="J8" s="109"/>
    </row>
    <row r="9" spans="1:10" ht="14.1" customHeight="1">
      <c r="A9" s="109"/>
      <c r="B9" s="519" t="s">
        <v>480</v>
      </c>
      <c r="C9" s="365"/>
      <c r="D9" s="521" t="s">
        <v>554</v>
      </c>
      <c r="E9" s="364"/>
      <c r="F9" s="365"/>
      <c r="G9" s="132">
        <v>0.04</v>
      </c>
      <c r="H9" s="133"/>
      <c r="I9" s="109"/>
      <c r="J9" s="109"/>
    </row>
    <row r="10" spans="1:10" ht="14.1" customHeight="1">
      <c r="A10" s="109"/>
      <c r="B10" s="519" t="s">
        <v>482</v>
      </c>
      <c r="C10" s="365"/>
      <c r="D10" s="521" t="s">
        <v>555</v>
      </c>
      <c r="E10" s="364"/>
      <c r="F10" s="365"/>
      <c r="G10" s="132">
        <v>1.5E-3</v>
      </c>
      <c r="H10" s="133"/>
      <c r="I10" s="109"/>
      <c r="J10" s="109"/>
    </row>
    <row r="11" spans="1:10" ht="14.1" customHeight="1">
      <c r="A11" s="109"/>
      <c r="B11" s="519" t="s">
        <v>483</v>
      </c>
      <c r="C11" s="365"/>
      <c r="D11" s="521" t="s">
        <v>556</v>
      </c>
      <c r="E11" s="364"/>
      <c r="F11" s="365"/>
      <c r="G11" s="132">
        <v>6.0000000000000001E-3</v>
      </c>
      <c r="H11" s="133"/>
      <c r="I11" s="109"/>
      <c r="J11" s="109"/>
    </row>
    <row r="12" spans="1:10" ht="14.1" customHeight="1">
      <c r="A12" s="109"/>
      <c r="B12" s="519" t="s">
        <v>485</v>
      </c>
      <c r="C12" s="365"/>
      <c r="D12" s="521" t="s">
        <v>557</v>
      </c>
      <c r="E12" s="364"/>
      <c r="F12" s="365"/>
      <c r="G12" s="132">
        <v>1.4E-3</v>
      </c>
      <c r="H12" s="133"/>
      <c r="I12" s="109"/>
      <c r="J12" s="109"/>
    </row>
    <row r="13" spans="1:10" ht="10.5" customHeight="1">
      <c r="A13" s="109"/>
      <c r="B13" s="519"/>
      <c r="C13" s="364"/>
      <c r="D13" s="364"/>
      <c r="E13" s="364"/>
      <c r="F13" s="365"/>
      <c r="G13" s="132"/>
      <c r="H13" s="133"/>
      <c r="I13" s="109"/>
      <c r="J13" s="109"/>
    </row>
    <row r="14" spans="1:10" ht="18" customHeight="1">
      <c r="A14" s="109"/>
      <c r="B14" s="523">
        <v>2</v>
      </c>
      <c r="C14" s="365"/>
      <c r="D14" s="520" t="s">
        <v>558</v>
      </c>
      <c r="E14" s="364"/>
      <c r="F14" s="365"/>
      <c r="G14" s="134">
        <v>1.3899999999999999E-2</v>
      </c>
      <c r="H14" s="133"/>
      <c r="I14" s="109"/>
      <c r="J14" s="109"/>
    </row>
    <row r="15" spans="1:10" ht="8.25" customHeight="1">
      <c r="A15" s="109"/>
      <c r="B15" s="519"/>
      <c r="C15" s="364"/>
      <c r="D15" s="364"/>
      <c r="E15" s="364"/>
      <c r="F15" s="365"/>
      <c r="G15" s="135"/>
      <c r="H15" s="133"/>
      <c r="I15" s="109"/>
      <c r="J15" s="109"/>
    </row>
    <row r="16" spans="1:10" ht="15.75" customHeight="1">
      <c r="A16" s="109"/>
      <c r="B16" s="523" t="s">
        <v>493</v>
      </c>
      <c r="C16" s="365"/>
      <c r="D16" s="520" t="s">
        <v>559</v>
      </c>
      <c r="E16" s="364"/>
      <c r="F16" s="365"/>
      <c r="G16" s="130">
        <f>G17</f>
        <v>7.2999999999999995E-2</v>
      </c>
      <c r="H16" s="133"/>
      <c r="I16" s="109"/>
      <c r="J16" s="109"/>
    </row>
    <row r="17" spans="1:10" ht="17.25" customHeight="1">
      <c r="A17" s="109"/>
      <c r="B17" s="519" t="s">
        <v>514</v>
      </c>
      <c r="C17" s="365"/>
      <c r="D17" s="521" t="s">
        <v>560</v>
      </c>
      <c r="E17" s="364"/>
      <c r="F17" s="365"/>
      <c r="G17" s="132">
        <v>7.2999999999999995E-2</v>
      </c>
      <c r="H17" s="133"/>
      <c r="I17" s="109"/>
      <c r="J17" s="109"/>
    </row>
    <row r="18" spans="1:10" ht="12.75" customHeight="1">
      <c r="A18" s="109"/>
      <c r="B18" s="519"/>
      <c r="C18" s="364"/>
      <c r="D18" s="364"/>
      <c r="E18" s="364"/>
      <c r="F18" s="365"/>
      <c r="G18" s="135"/>
      <c r="H18" s="136"/>
      <c r="I18" s="109"/>
      <c r="J18" s="109"/>
    </row>
    <row r="19" spans="1:10" ht="19.5" customHeight="1">
      <c r="A19" s="109"/>
      <c r="B19" s="523">
        <v>4</v>
      </c>
      <c r="C19" s="365"/>
      <c r="D19" s="520" t="s">
        <v>561</v>
      </c>
      <c r="E19" s="364"/>
      <c r="F19" s="365"/>
      <c r="G19" s="134">
        <v>0.1065</v>
      </c>
      <c r="H19" s="137"/>
      <c r="I19" s="109"/>
      <c r="J19" s="109"/>
    </row>
    <row r="20" spans="1:10" ht="12.75" hidden="1" customHeight="1">
      <c r="A20" s="109"/>
      <c r="B20" s="519" t="s">
        <v>495</v>
      </c>
      <c r="C20" s="365"/>
      <c r="D20" s="521" t="s">
        <v>562</v>
      </c>
      <c r="E20" s="364"/>
      <c r="F20" s="365"/>
      <c r="G20" s="132">
        <v>6.4999999999999997E-3</v>
      </c>
      <c r="H20" s="133"/>
      <c r="I20" s="229"/>
      <c r="J20" s="228"/>
    </row>
    <row r="21" spans="1:10" ht="12.75" hidden="1" customHeight="1">
      <c r="A21" s="109"/>
      <c r="B21" s="519" t="s">
        <v>496</v>
      </c>
      <c r="C21" s="365"/>
      <c r="D21" s="521" t="s">
        <v>563</v>
      </c>
      <c r="E21" s="364"/>
      <c r="F21" s="365"/>
      <c r="G21" s="132">
        <v>0.03</v>
      </c>
      <c r="H21" s="133"/>
      <c r="I21" s="109"/>
      <c r="J21" s="109"/>
    </row>
    <row r="22" spans="1:10" ht="12.75" hidden="1" customHeight="1">
      <c r="A22" s="109"/>
      <c r="B22" s="519" t="s">
        <v>498</v>
      </c>
      <c r="C22" s="365"/>
      <c r="D22" s="521" t="s">
        <v>564</v>
      </c>
      <c r="E22" s="364"/>
      <c r="F22" s="365"/>
      <c r="G22" s="132">
        <v>0.03</v>
      </c>
      <c r="H22" s="133"/>
      <c r="I22" s="109"/>
      <c r="J22" s="109"/>
    </row>
    <row r="23" spans="1:10" ht="12.75" hidden="1" customHeight="1">
      <c r="A23" s="109"/>
      <c r="B23" s="519" t="s">
        <v>499</v>
      </c>
      <c r="C23" s="365"/>
      <c r="D23" s="521" t="s">
        <v>565</v>
      </c>
      <c r="E23" s="364"/>
      <c r="F23" s="365"/>
      <c r="G23" s="132">
        <v>4.4999999999999998E-2</v>
      </c>
      <c r="H23" s="136"/>
      <c r="I23" s="109"/>
      <c r="J23" s="109"/>
    </row>
    <row r="24" spans="1:10" ht="6" hidden="1" customHeight="1">
      <c r="A24" s="109"/>
      <c r="B24" s="519"/>
      <c r="C24" s="364"/>
      <c r="D24" s="364"/>
      <c r="E24" s="364"/>
      <c r="F24" s="364"/>
      <c r="G24" s="428"/>
      <c r="H24" s="109"/>
      <c r="I24" s="109"/>
      <c r="J24" s="109"/>
    </row>
    <row r="25" spans="1:10" ht="18" customHeight="1">
      <c r="A25" s="109"/>
      <c r="B25" s="526">
        <v>5</v>
      </c>
      <c r="C25" s="365"/>
      <c r="D25" s="527" t="s">
        <v>566</v>
      </c>
      <c r="E25" s="364"/>
      <c r="F25" s="365"/>
      <c r="G25" s="138">
        <f>G8+G14+G16+G19</f>
        <v>0.24229999999999996</v>
      </c>
      <c r="H25" s="228"/>
      <c r="I25" s="228"/>
      <c r="J25" s="228"/>
    </row>
    <row r="26" spans="1:10" ht="12.75" customHeight="1">
      <c r="A26" s="109"/>
      <c r="B26" s="519"/>
      <c r="C26" s="364"/>
      <c r="D26" s="364"/>
      <c r="E26" s="364"/>
      <c r="F26" s="364"/>
      <c r="G26" s="428"/>
      <c r="H26" s="109"/>
      <c r="I26" s="109"/>
      <c r="J26" s="109"/>
    </row>
    <row r="27" spans="1:10" ht="33" customHeight="1">
      <c r="A27" s="109"/>
      <c r="B27" s="524" t="s">
        <v>567</v>
      </c>
      <c r="C27" s="364"/>
      <c r="D27" s="364"/>
      <c r="E27" s="364"/>
      <c r="F27" s="364"/>
      <c r="G27" s="428"/>
      <c r="H27" s="109"/>
      <c r="I27" s="109"/>
      <c r="J27" s="109"/>
    </row>
    <row r="28" spans="1:10" ht="21" customHeight="1">
      <c r="A28" s="109"/>
      <c r="B28" s="529"/>
      <c r="C28" s="394"/>
      <c r="D28" s="394"/>
      <c r="E28" s="394"/>
      <c r="F28" s="395"/>
      <c r="G28" s="139"/>
      <c r="H28" s="109"/>
      <c r="I28" s="109"/>
      <c r="J28" s="109"/>
    </row>
    <row r="29" spans="1:10" ht="12.75" customHeight="1">
      <c r="A29" s="109"/>
      <c r="B29" s="368"/>
      <c r="C29" s="438"/>
      <c r="D29" s="438"/>
      <c r="E29" s="438"/>
      <c r="F29" s="421"/>
      <c r="G29" s="139"/>
      <c r="H29" s="109"/>
      <c r="I29" s="109"/>
      <c r="J29" s="109"/>
    </row>
    <row r="30" spans="1:10" ht="12.75" customHeight="1">
      <c r="A30" s="109"/>
      <c r="B30" s="402"/>
      <c r="C30" s="406"/>
      <c r="D30" s="406"/>
      <c r="E30" s="406"/>
      <c r="F30" s="403"/>
      <c r="G30" s="140" t="s">
        <v>568</v>
      </c>
      <c r="H30" s="109"/>
      <c r="I30" s="109"/>
      <c r="J30" s="109"/>
    </row>
    <row r="31" spans="1:10" ht="12.75" customHeight="1">
      <c r="A31" s="109"/>
      <c r="B31" s="528" t="s">
        <v>569</v>
      </c>
      <c r="C31" s="364"/>
      <c r="D31" s="364"/>
      <c r="E31" s="364"/>
      <c r="F31" s="365"/>
      <c r="G31" s="141">
        <v>5.5E-2</v>
      </c>
      <c r="H31" s="109"/>
      <c r="I31" s="109"/>
      <c r="J31" s="109"/>
    </row>
    <row r="32" spans="1:10" ht="12.75" customHeight="1">
      <c r="A32" s="109"/>
      <c r="B32" s="528" t="s">
        <v>570</v>
      </c>
      <c r="C32" s="364"/>
      <c r="D32" s="364"/>
      <c r="E32" s="364"/>
      <c r="F32" s="365"/>
      <c r="G32" s="141">
        <v>5.0000000000000001E-3</v>
      </c>
      <c r="H32" s="109"/>
      <c r="I32" s="109"/>
      <c r="J32" s="109"/>
    </row>
    <row r="33" spans="1:10" ht="12.75" customHeight="1">
      <c r="A33" s="109"/>
      <c r="B33" s="528" t="s">
        <v>571</v>
      </c>
      <c r="C33" s="364"/>
      <c r="D33" s="364"/>
      <c r="E33" s="364"/>
      <c r="F33" s="365"/>
      <c r="G33" s="141">
        <v>1.2699999999999999E-2</v>
      </c>
      <c r="H33" s="109"/>
      <c r="I33" s="109"/>
      <c r="J33" s="109"/>
    </row>
    <row r="34" spans="1:10" ht="12.75" customHeight="1">
      <c r="A34" s="109"/>
      <c r="B34" s="528" t="s">
        <v>572</v>
      </c>
      <c r="C34" s="364"/>
      <c r="D34" s="364"/>
      <c r="E34" s="364"/>
      <c r="F34" s="365"/>
      <c r="G34" s="141">
        <v>5.0000000000000001E-3</v>
      </c>
      <c r="H34" s="109"/>
      <c r="I34" s="109"/>
      <c r="J34" s="109"/>
    </row>
    <row r="35" spans="1:10" ht="12.75" customHeight="1">
      <c r="A35" s="109"/>
      <c r="B35" s="528" t="s">
        <v>573</v>
      </c>
      <c r="C35" s="364"/>
      <c r="D35" s="364"/>
      <c r="E35" s="364"/>
      <c r="F35" s="365"/>
      <c r="G35" s="141">
        <v>1.3899999999999999E-2</v>
      </c>
      <c r="H35" s="109"/>
      <c r="I35" s="109"/>
      <c r="J35" s="109"/>
    </row>
    <row r="36" spans="1:10" ht="12.75" customHeight="1">
      <c r="A36" s="109"/>
      <c r="B36" s="528" t="s">
        <v>574</v>
      </c>
      <c r="C36" s="364"/>
      <c r="D36" s="364"/>
      <c r="E36" s="364"/>
      <c r="F36" s="365"/>
      <c r="G36" s="142">
        <v>8.9599999999999999E-2</v>
      </c>
      <c r="H36" s="109"/>
      <c r="I36" s="109"/>
      <c r="J36" s="109"/>
    </row>
    <row r="37" spans="1:10" ht="12.75" customHeight="1">
      <c r="A37" s="109"/>
      <c r="B37" s="528" t="s">
        <v>575</v>
      </c>
      <c r="C37" s="364"/>
      <c r="D37" s="364"/>
      <c r="E37" s="364"/>
      <c r="F37" s="365"/>
      <c r="G37" s="143" t="s">
        <v>576</v>
      </c>
      <c r="H37" s="109"/>
      <c r="I37" s="109"/>
      <c r="J37" s="109"/>
    </row>
    <row r="38" spans="1:10" ht="15" customHeight="1">
      <c r="A38" s="109"/>
      <c r="B38" s="456" t="s">
        <v>577</v>
      </c>
      <c r="C38" s="364"/>
      <c r="D38" s="364"/>
      <c r="E38" s="364"/>
      <c r="F38" s="365"/>
      <c r="G38" s="142">
        <v>0.24229999999999999</v>
      </c>
      <c r="H38" s="109"/>
      <c r="I38" s="109"/>
      <c r="J38" s="109"/>
    </row>
    <row r="39" spans="1:10" ht="15" customHeight="1">
      <c r="A39" s="109"/>
      <c r="B39" s="530" t="s">
        <v>578</v>
      </c>
      <c r="C39" s="364"/>
      <c r="D39" s="364"/>
      <c r="E39" s="364"/>
      <c r="F39" s="365"/>
      <c r="G39" s="142">
        <v>0.25</v>
      </c>
      <c r="H39" s="109"/>
      <c r="I39" s="109"/>
      <c r="J39" s="109"/>
    </row>
    <row r="40" spans="1:10" ht="15" customHeight="1">
      <c r="A40" s="109"/>
      <c r="B40" s="530" t="s">
        <v>579</v>
      </c>
      <c r="C40" s="364"/>
      <c r="D40" s="364"/>
      <c r="E40" s="364"/>
      <c r="F40" s="365"/>
      <c r="G40" s="142">
        <v>0.26440000000000002</v>
      </c>
      <c r="H40" s="109"/>
      <c r="I40" s="109"/>
      <c r="J40" s="109"/>
    </row>
    <row r="41" spans="1:10" ht="15.75" customHeight="1">
      <c r="A41" s="109"/>
      <c r="B41" s="531"/>
      <c r="C41" s="385"/>
      <c r="D41" s="385"/>
      <c r="E41" s="385"/>
      <c r="F41" s="385"/>
      <c r="G41" s="416"/>
      <c r="H41" s="109"/>
      <c r="I41" s="109"/>
      <c r="J41" s="109"/>
    </row>
    <row r="42" spans="1:10" ht="12.75" customHeight="1">
      <c r="A42" s="109"/>
      <c r="B42" s="144"/>
      <c r="C42" s="144"/>
      <c r="D42" s="144"/>
      <c r="E42" s="144"/>
      <c r="F42" s="144"/>
      <c r="G42" s="144"/>
      <c r="H42" s="109"/>
      <c r="I42" s="109"/>
      <c r="J42" s="109"/>
    </row>
    <row r="43" spans="1:10" ht="12.75" customHeight="1">
      <c r="A43" s="109"/>
      <c r="B43" s="144"/>
      <c r="C43" s="144"/>
      <c r="D43" s="144"/>
      <c r="E43" s="144"/>
      <c r="F43" s="144"/>
      <c r="G43" s="145"/>
      <c r="H43" s="109"/>
      <c r="I43" s="109"/>
      <c r="J43" s="109"/>
    </row>
    <row r="44" spans="1:10" ht="12.75" customHeight="1">
      <c r="A44" s="109"/>
      <c r="B44" s="144"/>
      <c r="C44" s="144"/>
      <c r="D44" s="144"/>
      <c r="E44" s="144"/>
      <c r="F44" s="144"/>
      <c r="G44" s="301"/>
      <c r="H44" s="109"/>
      <c r="I44" s="109"/>
      <c r="J44" s="109"/>
    </row>
    <row r="45" spans="1:10" ht="12.75" customHeight="1">
      <c r="A45" s="109"/>
      <c r="B45" s="144"/>
      <c r="C45" s="144"/>
      <c r="D45" s="144"/>
      <c r="E45" s="144"/>
      <c r="F45" s="144"/>
      <c r="G45" s="144"/>
      <c r="H45" s="109"/>
      <c r="I45" s="109"/>
      <c r="J45" s="109"/>
    </row>
    <row r="46" spans="1:10" ht="12.7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</row>
    <row r="48" spans="1:10" ht="12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</row>
    <row r="49" spans="1:10" ht="12.75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</row>
    <row r="50" spans="1:10" ht="12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</row>
    <row r="51" spans="1:10" ht="12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</row>
    <row r="52" spans="1:10" ht="12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ht="12.7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</row>
    <row r="54" spans="1:10" ht="12.75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</row>
    <row r="55" spans="1:10" ht="12.7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</row>
    <row r="56" spans="1:10" ht="12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</row>
    <row r="57" spans="1:10" ht="12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</row>
    <row r="58" spans="1:10" ht="12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10" ht="12.7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</row>
    <row r="60" spans="1:10" ht="12.75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0" ht="12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10" ht="12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10" ht="12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10" ht="12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0" ht="12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</row>
    <row r="66" spans="1:10" ht="12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</row>
    <row r="67" spans="1:10" ht="12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</row>
    <row r="68" spans="1:10" ht="12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</row>
    <row r="69" spans="1:10" ht="12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0" ht="12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 ht="12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 ht="12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 ht="12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  <row r="74" spans="1:10" ht="12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0" ht="12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 ht="12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 ht="12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 ht="12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</row>
    <row r="79" spans="1:10" ht="12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</row>
    <row r="80" spans="1:10" ht="12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</row>
    <row r="81" spans="1:10" ht="12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0" ht="12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</row>
    <row r="83" spans="1:10" ht="12.75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</row>
    <row r="84" spans="1:10" ht="12.75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</row>
    <row r="85" spans="1:10" ht="12.75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</row>
    <row r="86" spans="1:10" ht="12.75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</row>
    <row r="87" spans="1:10" ht="12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</row>
    <row r="88" spans="1:10" ht="12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</row>
    <row r="89" spans="1:10" ht="12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</row>
    <row r="90" spans="1:10" ht="12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</row>
    <row r="91" spans="1:10" ht="12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</row>
    <row r="92" spans="1:10" ht="12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</row>
    <row r="93" spans="1:10" ht="12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</row>
    <row r="94" spans="1:10" ht="12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</row>
    <row r="95" spans="1:10" ht="12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</row>
    <row r="96" spans="1:10" ht="12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</row>
    <row r="97" spans="1:10" ht="12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</row>
    <row r="98" spans="1:10" ht="12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</row>
    <row r="99" spans="1:10" ht="12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</row>
    <row r="100" spans="1:10" ht="12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</row>
  </sheetData>
  <mergeCells count="50">
    <mergeCell ref="D21:F21"/>
    <mergeCell ref="D22:F22"/>
    <mergeCell ref="D23:F23"/>
    <mergeCell ref="B23:C23"/>
    <mergeCell ref="B24:G24"/>
    <mergeCell ref="B38:F38"/>
    <mergeCell ref="B39:F39"/>
    <mergeCell ref="B40:F40"/>
    <mergeCell ref="B41:G41"/>
    <mergeCell ref="B37:F37"/>
    <mergeCell ref="B35:F35"/>
    <mergeCell ref="B36:F36"/>
    <mergeCell ref="B28:F30"/>
    <mergeCell ref="B31:F31"/>
    <mergeCell ref="B32:F32"/>
    <mergeCell ref="B33:F33"/>
    <mergeCell ref="B34:F34"/>
    <mergeCell ref="B27:G27"/>
    <mergeCell ref="B7:G7"/>
    <mergeCell ref="D2:E3"/>
    <mergeCell ref="B26:G26"/>
    <mergeCell ref="B25:C25"/>
    <mergeCell ref="B19:C19"/>
    <mergeCell ref="B18:F18"/>
    <mergeCell ref="B8:C8"/>
    <mergeCell ref="B9:C9"/>
    <mergeCell ref="B10:C10"/>
    <mergeCell ref="B11:C11"/>
    <mergeCell ref="D19:F19"/>
    <mergeCell ref="B20:C20"/>
    <mergeCell ref="B21:C21"/>
    <mergeCell ref="B22:C22"/>
    <mergeCell ref="D25:F25"/>
    <mergeCell ref="D16:F16"/>
    <mergeCell ref="D20:F20"/>
    <mergeCell ref="D17:F17"/>
    <mergeCell ref="B13:F13"/>
    <mergeCell ref="B14:C14"/>
    <mergeCell ref="D14:F14"/>
    <mergeCell ref="B15:F15"/>
    <mergeCell ref="B16:C16"/>
    <mergeCell ref="B17:C17"/>
    <mergeCell ref="B12:C12"/>
    <mergeCell ref="B2:C6"/>
    <mergeCell ref="D8:F8"/>
    <mergeCell ref="D9:F9"/>
    <mergeCell ref="D10:F10"/>
    <mergeCell ref="D11:F11"/>
    <mergeCell ref="D12:F12"/>
    <mergeCell ref="F2:G6"/>
  </mergeCells>
  <pageMargins left="0.98425196850393704" right="0.59055118110236227" top="0.78740157480314965" bottom="0.78740157480314965" header="0" footer="0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5</vt:i4>
      </vt:variant>
    </vt:vector>
  </HeadingPairs>
  <TitlesOfParts>
    <vt:vector size="17" baseType="lpstr">
      <vt:lpstr>IBGE 2010</vt:lpstr>
      <vt:lpstr>Área</vt:lpstr>
      <vt:lpstr>Microrregiões</vt:lpstr>
      <vt:lpstr>ORÇ.SINTETICO</vt:lpstr>
      <vt:lpstr>PLANILHA ORÇAMENTÁRIA</vt:lpstr>
      <vt:lpstr>MEMORIA DE CALCULO</vt:lpstr>
      <vt:lpstr>COMPOSIÇÕES</vt:lpstr>
      <vt:lpstr>CRONOGRAMA</vt:lpstr>
      <vt:lpstr>BDI</vt:lpstr>
      <vt:lpstr>ENCARGOS</vt:lpstr>
      <vt:lpstr>CURVA ABC</vt:lpstr>
      <vt:lpstr>ESTRADAS VICINAIS</vt:lpstr>
      <vt:lpstr>'CURVA ABC'!Area_de_impressao</vt:lpstr>
      <vt:lpstr>'MEMORIA DE CALCULO'!Area_de_impressao</vt:lpstr>
      <vt:lpstr>'PLANILHA ORÇAMENTÁRIA'!Area_de_impressao</vt:lpstr>
      <vt:lpstr>'CURVA ABC'!Titulos_de_impressao</vt:lpstr>
      <vt:lpstr>'ESTRADAS VICINAIS'!Titulos_de_impressao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</cp:lastModifiedBy>
  <cp:revision/>
  <cp:lastPrinted>2023-10-04T15:52:22Z</cp:lastPrinted>
  <dcterms:created xsi:type="dcterms:W3CDTF">2015-08-11T18:30:27Z</dcterms:created>
  <dcterms:modified xsi:type="dcterms:W3CDTF">2023-10-18T14:16:30Z</dcterms:modified>
</cp:coreProperties>
</file>